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2162" documentId="11_786DA4FB36EF52F355ACE3FBC2D3D8820F485475" xr6:coauthVersionLast="47" xr6:coauthVersionMax="47" xr10:uidLastSave="{53A8A0F2-BD88-4671-BCC5-C868D1D08A33}"/>
  <bookViews>
    <workbookView xWindow="-110" yWindow="-110" windowWidth="38620" windowHeight="21100" tabRatio="500" activeTab="1" xr2:uid="{00000000-000D-0000-FFFF-FFFF00000000}"/>
  </bookViews>
  <sheets>
    <sheet name="0. Measure Groups" sheetId="1" r:id="rId1"/>
    <sheet name="1. National Totals" sheetId="2" r:id="rId2"/>
    <sheet name="2. Cost by Measure Group" sheetId="3" r:id="rId3"/>
    <sheet name="3. Measure Detail" sheetId="4" r:id="rId4"/>
    <sheet name="4. Coastal Catchments" sheetId="5" r:id="rId5"/>
    <sheet name="5. Coastal - Area by Measure" sheetId="6" r:id="rId6"/>
    <sheet name="6. Lake - Area by Measur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O1353" i="7" l="1"/>
  <c r="BN1353" i="7"/>
  <c r="BE1353" i="7"/>
  <c r="BD1353" i="7"/>
  <c r="AZ1353" i="7"/>
  <c r="AY1353" i="7"/>
  <c r="AU1353" i="7"/>
  <c r="AT1353" i="7"/>
  <c r="AK1353" i="7"/>
  <c r="AJ1353" i="7"/>
  <c r="AF1353" i="7"/>
  <c r="AE1353" i="7"/>
  <c r="AA1353" i="7"/>
  <c r="Z1353" i="7"/>
  <c r="V1353" i="7"/>
  <c r="U1353" i="7"/>
  <c r="Q1353" i="7"/>
  <c r="P1353" i="7"/>
  <c r="L1353" i="7"/>
  <c r="K1353" i="7"/>
  <c r="G1353" i="7"/>
  <c r="F1353" i="7"/>
  <c r="AZ1349" i="7"/>
  <c r="AY1349" i="7"/>
  <c r="AF1349" i="7"/>
  <c r="AE1349" i="7"/>
  <c r="AA1349" i="7"/>
  <c r="Z1349" i="7"/>
  <c r="V1349" i="7"/>
  <c r="U1349" i="7"/>
  <c r="Q1349" i="7"/>
  <c r="P1349" i="7"/>
  <c r="BD1338" i="7"/>
  <c r="AZ1338" i="7"/>
  <c r="AY1338" i="7"/>
  <c r="AK1338" i="7"/>
  <c r="AF1338" i="7"/>
  <c r="AA1338" i="7"/>
  <c r="V1338" i="7"/>
  <c r="Q1338" i="7"/>
  <c r="V1333" i="7"/>
  <c r="U1333" i="7"/>
  <c r="AF1332" i="7"/>
  <c r="AE1332" i="7"/>
  <c r="V1332" i="7"/>
  <c r="Q1332" i="7"/>
  <c r="P1332" i="7"/>
  <c r="AF1331" i="7"/>
  <c r="Q1331" i="7"/>
  <c r="AK1321" i="7"/>
  <c r="AJ1321" i="7"/>
  <c r="G1321" i="7"/>
  <c r="F1321" i="7"/>
  <c r="AF1319" i="7"/>
  <c r="AE1319" i="7"/>
  <c r="V1319" i="7"/>
  <c r="U1319" i="7"/>
  <c r="Q1319" i="7"/>
  <c r="P1319" i="7"/>
  <c r="AF1317" i="7"/>
  <c r="AE1317" i="7"/>
  <c r="V1317" i="7"/>
  <c r="U1317" i="7"/>
  <c r="Q1317" i="7"/>
  <c r="P1317" i="7"/>
  <c r="AE1302" i="7"/>
  <c r="P1302" i="7"/>
  <c r="AT1300" i="7"/>
  <c r="AF1300" i="7"/>
  <c r="AE1300" i="7"/>
  <c r="V1300" i="7"/>
  <c r="U1300" i="7"/>
  <c r="Q1300" i="7"/>
  <c r="L1297" i="7"/>
  <c r="K1297" i="7"/>
  <c r="Q1295" i="7"/>
  <c r="P1295" i="7"/>
  <c r="G1295" i="7"/>
  <c r="AF1294" i="7"/>
  <c r="AE1294" i="7"/>
  <c r="V1294" i="7"/>
  <c r="P1294" i="7"/>
  <c r="AF1292" i="7"/>
  <c r="V1292" i="7"/>
  <c r="U1292" i="7"/>
  <c r="Q1292" i="7"/>
  <c r="P1292" i="7"/>
  <c r="L1292" i="7"/>
  <c r="K1292" i="7"/>
  <c r="G1292" i="7"/>
  <c r="F1292" i="7"/>
  <c r="AF1291" i="7"/>
  <c r="AE1291" i="7"/>
  <c r="V1291" i="7"/>
  <c r="U1291" i="7"/>
  <c r="P1291" i="7"/>
  <c r="BD1289" i="7"/>
  <c r="AK1289" i="7"/>
  <c r="AJ1289" i="7"/>
  <c r="AF1289" i="7"/>
  <c r="AE1289" i="7"/>
  <c r="AA1289" i="7"/>
  <c r="Z1289" i="7"/>
  <c r="V1289" i="7"/>
  <c r="U1289" i="7"/>
  <c r="Q1289" i="7"/>
  <c r="P1289" i="7"/>
  <c r="L1289" i="7"/>
  <c r="K1289" i="7"/>
  <c r="F1289" i="7"/>
  <c r="AF1286" i="7"/>
  <c r="AE1286" i="7"/>
  <c r="V1286" i="7"/>
  <c r="U1286" i="7"/>
  <c r="Q1286" i="7"/>
  <c r="P1286" i="7"/>
  <c r="BE1285" i="7"/>
  <c r="AZ1285" i="7"/>
  <c r="L1281" i="7"/>
  <c r="K1281" i="7"/>
  <c r="L1275" i="7"/>
  <c r="K1275" i="7"/>
  <c r="AF1273" i="7"/>
  <c r="AE1273" i="7"/>
  <c r="Q1273" i="7"/>
  <c r="P1273" i="7"/>
  <c r="AF1269" i="7"/>
  <c r="AE1269" i="7"/>
  <c r="V1269" i="7"/>
  <c r="U1269" i="7"/>
  <c r="Q1269" i="7"/>
  <c r="P1269" i="7"/>
  <c r="AK1264" i="7"/>
  <c r="AJ1264" i="7"/>
  <c r="AF1264" i="7"/>
  <c r="V1264" i="7"/>
  <c r="U1264" i="7"/>
  <c r="Q1264" i="7"/>
  <c r="P1264" i="7"/>
  <c r="L1264" i="7"/>
  <c r="K1264" i="7"/>
  <c r="G1264" i="7"/>
  <c r="F1264" i="7"/>
  <c r="AK1262" i="7"/>
  <c r="AJ1262" i="7"/>
  <c r="G1261" i="7"/>
  <c r="F1261" i="7"/>
  <c r="U1235" i="7"/>
  <c r="P1235" i="7"/>
  <c r="AF1229" i="7"/>
  <c r="AE1229" i="7"/>
  <c r="V1229" i="7"/>
  <c r="U1229" i="7"/>
  <c r="Q1229" i="7"/>
  <c r="AE1223" i="7"/>
  <c r="Q1223" i="7"/>
  <c r="P1223" i="7"/>
  <c r="L1223" i="7"/>
  <c r="K1223" i="7"/>
  <c r="Q1207" i="7"/>
  <c r="P1207" i="7"/>
  <c r="K1207" i="7"/>
  <c r="AF1201" i="7"/>
  <c r="AE1201" i="7"/>
  <c r="V1201" i="7"/>
  <c r="U1201" i="7"/>
  <c r="Q1201" i="7"/>
  <c r="P1201" i="7"/>
  <c r="Q1197" i="7"/>
  <c r="P1197" i="7"/>
  <c r="L1197" i="7"/>
  <c r="K1197" i="7"/>
  <c r="G1197" i="7"/>
  <c r="F1197" i="7"/>
  <c r="BE1192" i="7"/>
  <c r="BD1192" i="7"/>
  <c r="AZ1192" i="7"/>
  <c r="AY1192" i="7"/>
  <c r="AU1192" i="7"/>
  <c r="AT1192" i="7"/>
  <c r="AF1192" i="7"/>
  <c r="AE1192" i="7"/>
  <c r="V1192" i="7"/>
  <c r="U1192" i="7"/>
  <c r="Q1192" i="7"/>
  <c r="P1192" i="7"/>
  <c r="L1192" i="7"/>
  <c r="K1192" i="7"/>
  <c r="AF1190" i="7"/>
  <c r="AE1190" i="7"/>
  <c r="V1190" i="7"/>
  <c r="U1190" i="7"/>
  <c r="Q1190" i="7"/>
  <c r="P1190" i="7"/>
  <c r="AF1188" i="7"/>
  <c r="AE1188" i="7"/>
  <c r="Q1188" i="7"/>
  <c r="P1188" i="7"/>
  <c r="AF1181" i="7"/>
  <c r="AE1181" i="7"/>
  <c r="V1181" i="7"/>
  <c r="U1181" i="7"/>
  <c r="Q1181" i="7"/>
  <c r="P1181" i="7"/>
  <c r="AF1180" i="7"/>
  <c r="AE1180" i="7"/>
  <c r="V1180" i="7"/>
  <c r="U1180" i="7"/>
  <c r="Q1180" i="7"/>
  <c r="P1180" i="7"/>
  <c r="V1179" i="7"/>
  <c r="U1179" i="7"/>
  <c r="P1179" i="7"/>
  <c r="G1179" i="7"/>
  <c r="F1179" i="7"/>
  <c r="AE1173" i="7"/>
  <c r="V1173" i="7"/>
  <c r="U1173" i="7"/>
  <c r="Q1173" i="7"/>
  <c r="P1173" i="7"/>
  <c r="AF1167" i="7"/>
  <c r="AE1167" i="7"/>
  <c r="V1167" i="7"/>
  <c r="U1167" i="7"/>
  <c r="Q1167" i="7"/>
  <c r="P1167" i="7"/>
  <c r="L1165" i="7"/>
  <c r="K1165" i="7"/>
  <c r="AF1164" i="7"/>
  <c r="V1164" i="7"/>
  <c r="AK1161" i="7"/>
  <c r="AJ1161" i="7"/>
  <c r="L1161" i="7"/>
  <c r="AK1155" i="7"/>
  <c r="AJ1155" i="7"/>
  <c r="L1155" i="7"/>
  <c r="AZ1139" i="7"/>
  <c r="AY1139" i="7"/>
  <c r="AU1139" i="7"/>
  <c r="AT1139" i="7"/>
  <c r="AK1139" i="7"/>
  <c r="AJ1139" i="7"/>
  <c r="AF1139" i="7"/>
  <c r="AE1139" i="7"/>
  <c r="AA1139" i="7"/>
  <c r="Z1139" i="7"/>
  <c r="V1139" i="7"/>
  <c r="U1139" i="7"/>
  <c r="Q1139" i="7"/>
  <c r="P1139" i="7"/>
  <c r="L1139" i="7"/>
  <c r="K1139" i="7"/>
  <c r="AF1138" i="7"/>
  <c r="AE1138" i="7"/>
  <c r="V1138" i="7"/>
  <c r="U1138" i="7"/>
  <c r="Q1138" i="7"/>
  <c r="P1138" i="7"/>
  <c r="L1138" i="7"/>
  <c r="K1138" i="7"/>
  <c r="AK1137" i="7"/>
  <c r="AJ1137" i="7"/>
  <c r="AF1137" i="7"/>
  <c r="AE1137" i="7"/>
  <c r="AA1137" i="7"/>
  <c r="Z1137" i="7"/>
  <c r="V1137" i="7"/>
  <c r="U1137" i="7"/>
  <c r="Q1137" i="7"/>
  <c r="P1137" i="7"/>
  <c r="L1137" i="7"/>
  <c r="K1137" i="7"/>
  <c r="AF1136" i="7"/>
  <c r="AE1136" i="7"/>
  <c r="AA1136" i="7"/>
  <c r="Z1136" i="7"/>
  <c r="V1136" i="7"/>
  <c r="U1136" i="7"/>
  <c r="Q1136" i="7"/>
  <c r="P1136" i="7"/>
  <c r="L1136" i="7"/>
  <c r="K1136" i="7"/>
  <c r="AF1133" i="7"/>
  <c r="AE1133" i="7"/>
  <c r="V1133" i="7"/>
  <c r="U1133" i="7"/>
  <c r="Q1133" i="7"/>
  <c r="P1133" i="7"/>
  <c r="L1131" i="7"/>
  <c r="K1131" i="7"/>
  <c r="L1127" i="7"/>
  <c r="K1127" i="7"/>
  <c r="V1119" i="7"/>
  <c r="U1119" i="7"/>
  <c r="Q1119" i="7"/>
  <c r="P1119" i="7"/>
  <c r="U1113" i="7"/>
  <c r="P1113" i="7"/>
  <c r="AU1106" i="7"/>
  <c r="AT1106" i="7"/>
  <c r="AF1106" i="7"/>
  <c r="AE1106" i="7"/>
  <c r="V1106" i="7"/>
  <c r="U1106" i="7"/>
  <c r="Q1106" i="7"/>
  <c r="P1106" i="7"/>
  <c r="AU1101" i="7"/>
  <c r="AT1101" i="7"/>
  <c r="U1101" i="7"/>
  <c r="P1101" i="7"/>
  <c r="AE1100" i="7"/>
  <c r="U1100" i="7"/>
  <c r="AF1097" i="7"/>
  <c r="AE1097" i="7"/>
  <c r="V1097" i="7"/>
  <c r="U1097" i="7"/>
  <c r="Q1097" i="7"/>
  <c r="P1097" i="7"/>
  <c r="AK1093" i="7"/>
  <c r="AJ1093" i="7"/>
  <c r="L1093" i="7"/>
  <c r="K1093" i="7"/>
  <c r="AF1091" i="7"/>
  <c r="AE1091" i="7"/>
  <c r="V1091" i="7"/>
  <c r="U1091" i="7"/>
  <c r="Q1091" i="7"/>
  <c r="P1091" i="7"/>
  <c r="AF1088" i="7"/>
  <c r="V1088" i="7"/>
  <c r="U1088" i="7"/>
  <c r="Q1088" i="7"/>
  <c r="P1088" i="7"/>
  <c r="AF1085" i="7"/>
  <c r="AE1085" i="7"/>
  <c r="Q1085" i="7"/>
  <c r="P1085" i="7"/>
  <c r="L1085" i="7"/>
  <c r="K1085" i="7"/>
  <c r="G1085" i="7"/>
  <c r="F1085" i="7"/>
  <c r="V1084" i="7"/>
  <c r="U1084" i="7"/>
  <c r="Q1084" i="7"/>
  <c r="P1084" i="7"/>
  <c r="AF1075" i="7"/>
  <c r="AE1075" i="7"/>
  <c r="Q1075" i="7"/>
  <c r="P1075" i="7"/>
  <c r="BE1070" i="7"/>
  <c r="BD1070" i="7"/>
  <c r="AZ1070" i="7"/>
  <c r="AY1070" i="7"/>
  <c r="AK1070" i="7"/>
  <c r="AJ1070" i="7"/>
  <c r="AF1070" i="7"/>
  <c r="AE1070" i="7"/>
  <c r="AA1070" i="7"/>
  <c r="Z1070" i="7"/>
  <c r="V1070" i="7"/>
  <c r="U1070" i="7"/>
  <c r="Q1070" i="7"/>
  <c r="P1070" i="7"/>
  <c r="BE1063" i="7"/>
  <c r="BD1063" i="7"/>
  <c r="AU1063" i="7"/>
  <c r="AT1063" i="7"/>
  <c r="AF1063" i="7"/>
  <c r="AE1063" i="7"/>
  <c r="V1063" i="7"/>
  <c r="U1063" i="7"/>
  <c r="Q1063" i="7"/>
  <c r="P1063" i="7"/>
  <c r="L1063" i="7"/>
  <c r="K1063" i="7"/>
  <c r="AF1062" i="7"/>
  <c r="AE1062" i="7"/>
  <c r="V1062" i="7"/>
  <c r="U1062" i="7"/>
  <c r="Q1062" i="7"/>
  <c r="P1062" i="7"/>
  <c r="AK1055" i="7"/>
  <c r="Q1055" i="7"/>
  <c r="P1055" i="7"/>
  <c r="L1055" i="7"/>
  <c r="K1055" i="7"/>
  <c r="AE1048" i="7"/>
  <c r="V1048" i="7"/>
  <c r="Q1048" i="7"/>
  <c r="P1048" i="7"/>
  <c r="BO1042" i="7"/>
  <c r="BN1042" i="7"/>
  <c r="AT1042" i="7"/>
  <c r="AJ1042" i="7"/>
  <c r="AF1042" i="7"/>
  <c r="AE1042" i="7"/>
  <c r="V1042" i="7"/>
  <c r="U1042" i="7"/>
  <c r="Q1042" i="7"/>
  <c r="P1042" i="7"/>
  <c r="AF1041" i="7"/>
  <c r="AE1041" i="7"/>
  <c r="V1041" i="7"/>
  <c r="U1041" i="7"/>
  <c r="Q1041" i="7"/>
  <c r="P1041" i="7"/>
  <c r="AF1040" i="7"/>
  <c r="V1040" i="7"/>
  <c r="U1040" i="7"/>
  <c r="P1040" i="7"/>
  <c r="L1039" i="7"/>
  <c r="K1039" i="7"/>
  <c r="V1035" i="7"/>
  <c r="Q1035" i="7"/>
  <c r="G1031" i="7"/>
  <c r="F1031" i="7"/>
  <c r="AF1029" i="7"/>
  <c r="AE1029" i="7"/>
  <c r="V1029" i="7"/>
  <c r="U1029" i="7"/>
  <c r="Q1029" i="7"/>
  <c r="P1029" i="7"/>
  <c r="AF1022" i="7"/>
  <c r="AE1022" i="7"/>
  <c r="V1022" i="7"/>
  <c r="U1022" i="7"/>
  <c r="Q1022" i="7"/>
  <c r="P1022" i="7"/>
  <c r="AT1019" i="7"/>
  <c r="AF1019" i="7"/>
  <c r="V1019" i="7"/>
  <c r="AF1015" i="7"/>
  <c r="AE1015" i="7"/>
  <c r="V1015" i="7"/>
  <c r="U1015" i="7"/>
  <c r="Q1015" i="7"/>
  <c r="P1015" i="7"/>
  <c r="AK1013" i="7"/>
  <c r="AJ1013" i="7"/>
  <c r="AE1013" i="7"/>
  <c r="U1013" i="7"/>
  <c r="G1013" i="7"/>
  <c r="F1013" i="7"/>
  <c r="AF1006" i="7"/>
  <c r="AE1006" i="7"/>
  <c r="U1006" i="7"/>
  <c r="Q1006" i="7"/>
  <c r="P1006" i="7"/>
  <c r="AK1005" i="7"/>
  <c r="L1005" i="7"/>
  <c r="AK1003" i="7"/>
  <c r="AJ1003" i="7"/>
  <c r="AF1003" i="7"/>
  <c r="AE1003" i="7"/>
  <c r="Q1003" i="7"/>
  <c r="P1003" i="7"/>
  <c r="L1003" i="7"/>
  <c r="K1003" i="7"/>
  <c r="G1003" i="7"/>
  <c r="F1003" i="7"/>
  <c r="AE1000" i="7"/>
  <c r="U1000" i="7"/>
  <c r="AF999" i="7"/>
  <c r="AE999" i="7"/>
  <c r="V999" i="7"/>
  <c r="U999" i="7"/>
  <c r="Q999" i="7"/>
  <c r="P999" i="7"/>
  <c r="AZ998" i="7"/>
  <c r="AY998" i="7"/>
  <c r="AU998" i="7"/>
  <c r="AT998" i="7"/>
  <c r="AK998" i="7"/>
  <c r="AJ998" i="7"/>
  <c r="AF998" i="7"/>
  <c r="AE998" i="7"/>
  <c r="V998" i="7"/>
  <c r="U998" i="7"/>
  <c r="Q998" i="7"/>
  <c r="P998" i="7"/>
  <c r="AJ997" i="7"/>
  <c r="AF997" i="7"/>
  <c r="AE997" i="7"/>
  <c r="Q997" i="7"/>
  <c r="P997" i="7"/>
  <c r="L997" i="7"/>
  <c r="K997" i="7"/>
  <c r="L992" i="7"/>
  <c r="K992" i="7"/>
  <c r="L989" i="7"/>
  <c r="AK984" i="7"/>
  <c r="AJ984" i="7"/>
  <c r="Q984" i="7"/>
  <c r="P984" i="7"/>
  <c r="G984" i="7"/>
  <c r="F984" i="7"/>
  <c r="AF982" i="7"/>
  <c r="V982" i="7"/>
  <c r="U982" i="7"/>
  <c r="Q982" i="7"/>
  <c r="P982" i="7"/>
  <c r="AJ980" i="7"/>
  <c r="AF980" i="7"/>
  <c r="AE980" i="7"/>
  <c r="V980" i="7"/>
  <c r="U980" i="7"/>
  <c r="Q980" i="7"/>
  <c r="P980" i="7"/>
  <c r="AF979" i="7"/>
  <c r="AE979" i="7"/>
  <c r="Q979" i="7"/>
  <c r="P979" i="7"/>
  <c r="AF978" i="7"/>
  <c r="AE978" i="7"/>
  <c r="V978" i="7"/>
  <c r="U978" i="7"/>
  <c r="Q978" i="7"/>
  <c r="P978" i="7"/>
  <c r="AF977" i="7"/>
  <c r="AE977" i="7"/>
  <c r="V977" i="7"/>
  <c r="U977" i="7"/>
  <c r="Q977" i="7"/>
  <c r="P977" i="7"/>
  <c r="AF974" i="7"/>
  <c r="V974" i="7"/>
  <c r="BE972" i="7"/>
  <c r="AZ972" i="7"/>
  <c r="AF972" i="7"/>
  <c r="AE972" i="7"/>
  <c r="AA972" i="7"/>
  <c r="Z972" i="7"/>
  <c r="V972" i="7"/>
  <c r="U972" i="7"/>
  <c r="Q972" i="7"/>
  <c r="P972" i="7"/>
  <c r="AF970" i="7"/>
  <c r="AE970" i="7"/>
  <c r="V970" i="7"/>
  <c r="U970" i="7"/>
  <c r="Q970" i="7"/>
  <c r="P970" i="7"/>
  <c r="AK967" i="7"/>
  <c r="AJ967" i="7"/>
  <c r="AF967" i="7"/>
  <c r="AE967" i="7"/>
  <c r="V967" i="7"/>
  <c r="U967" i="7"/>
  <c r="Q967" i="7"/>
  <c r="P967" i="7"/>
  <c r="AF966" i="7"/>
  <c r="AE966" i="7"/>
  <c r="V966" i="7"/>
  <c r="U966" i="7"/>
  <c r="AF965" i="7"/>
  <c r="AE965" i="7"/>
  <c r="V965" i="7"/>
  <c r="U965" i="7"/>
  <c r="Q965" i="7"/>
  <c r="P965" i="7"/>
  <c r="L965" i="7"/>
  <c r="V962" i="7"/>
  <c r="U962" i="7"/>
  <c r="AF961" i="7"/>
  <c r="AE961" i="7"/>
  <c r="V961" i="7"/>
  <c r="P961" i="7"/>
  <c r="AF960" i="7"/>
  <c r="V960" i="7"/>
  <c r="Q960" i="7"/>
  <c r="P960" i="7"/>
  <c r="AF958" i="7"/>
  <c r="AE958" i="7"/>
  <c r="Z958" i="7"/>
  <c r="V958" i="7"/>
  <c r="U958" i="7"/>
  <c r="Q958" i="7"/>
  <c r="P958" i="7"/>
  <c r="L958" i="7"/>
  <c r="K958" i="7"/>
  <c r="BE956" i="7"/>
  <c r="BD956" i="7"/>
  <c r="AZ956" i="7"/>
  <c r="AY956" i="7"/>
  <c r="AU956" i="7"/>
  <c r="AT956" i="7"/>
  <c r="AK956" i="7"/>
  <c r="AJ956" i="7"/>
  <c r="AF956" i="7"/>
  <c r="AE956" i="7"/>
  <c r="V956" i="7"/>
  <c r="U956" i="7"/>
  <c r="Q956" i="7"/>
  <c r="P956" i="7"/>
  <c r="L956" i="7"/>
  <c r="K956" i="7"/>
  <c r="AF952" i="7"/>
  <c r="AE952" i="7"/>
  <c r="V952" i="7"/>
  <c r="U952" i="7"/>
  <c r="Q952" i="7"/>
  <c r="P952" i="7"/>
  <c r="U951" i="7"/>
  <c r="P951" i="7"/>
  <c r="AJ948" i="7"/>
  <c r="AF948" i="7"/>
  <c r="AE948" i="7"/>
  <c r="AA948" i="7"/>
  <c r="Z948" i="7"/>
  <c r="V948" i="7"/>
  <c r="U948" i="7"/>
  <c r="Q948" i="7"/>
  <c r="P948" i="7"/>
  <c r="BO947" i="7"/>
  <c r="BN947" i="7"/>
  <c r="BE947" i="7"/>
  <c r="BD947" i="7"/>
  <c r="AK947" i="7"/>
  <c r="AJ947" i="7"/>
  <c r="AF947" i="7"/>
  <c r="AE947" i="7"/>
  <c r="AA947" i="7"/>
  <c r="Z947" i="7"/>
  <c r="V947" i="7"/>
  <c r="U947" i="7"/>
  <c r="Q947" i="7"/>
  <c r="P947" i="7"/>
  <c r="L947" i="7"/>
  <c r="K947" i="7"/>
  <c r="AF944" i="7"/>
  <c r="AE944" i="7"/>
  <c r="V944" i="7"/>
  <c r="U944" i="7"/>
  <c r="Q944" i="7"/>
  <c r="P944" i="7"/>
  <c r="AZ942" i="7"/>
  <c r="AY942" i="7"/>
  <c r="AF942" i="7"/>
  <c r="AE942" i="7"/>
  <c r="AA942" i="7"/>
  <c r="Z942" i="7"/>
  <c r="V942" i="7"/>
  <c r="U942" i="7"/>
  <c r="Q942" i="7"/>
  <c r="P942" i="7"/>
  <c r="AU939" i="7"/>
  <c r="AT939" i="7"/>
  <c r="AF939" i="7"/>
  <c r="AE939" i="7"/>
  <c r="V939" i="7"/>
  <c r="U939" i="7"/>
  <c r="Q939" i="7"/>
  <c r="P939" i="7"/>
  <c r="L939" i="7"/>
  <c r="K939" i="7"/>
  <c r="Q938" i="7"/>
  <c r="P938" i="7"/>
  <c r="AU937" i="7"/>
  <c r="AF937" i="7"/>
  <c r="V937" i="7"/>
  <c r="BE936" i="7"/>
  <c r="AZ936" i="7"/>
  <c r="AK936" i="7"/>
  <c r="AJ936" i="7"/>
  <c r="AF936" i="7"/>
  <c r="AE936" i="7"/>
  <c r="AA936" i="7"/>
  <c r="V936" i="7"/>
  <c r="U936" i="7"/>
  <c r="Q936" i="7"/>
  <c r="P936" i="7"/>
  <c r="L936" i="7"/>
  <c r="K936" i="7"/>
  <c r="AF935" i="7"/>
  <c r="AE935" i="7"/>
  <c r="V935" i="7"/>
  <c r="U935" i="7"/>
  <c r="Q935" i="7"/>
  <c r="P935" i="7"/>
  <c r="AF934" i="7"/>
  <c r="Q934" i="7"/>
  <c r="AF928" i="7"/>
  <c r="AE928" i="7"/>
  <c r="V928" i="7"/>
  <c r="U928" i="7"/>
  <c r="Q928" i="7"/>
  <c r="P928" i="7"/>
  <c r="AF927" i="7"/>
  <c r="AE927" i="7"/>
  <c r="U927" i="7"/>
  <c r="Q927" i="7"/>
  <c r="P927" i="7"/>
  <c r="AF926" i="7"/>
  <c r="AE926" i="7"/>
  <c r="V926" i="7"/>
  <c r="U926" i="7"/>
  <c r="Q926" i="7"/>
  <c r="P926" i="7"/>
  <c r="AF923" i="7"/>
  <c r="AE923" i="7"/>
  <c r="V923" i="7"/>
  <c r="U923" i="7"/>
  <c r="Q923" i="7"/>
  <c r="P923" i="7"/>
  <c r="AF922" i="7"/>
  <c r="V922" i="7"/>
  <c r="Q922" i="7"/>
  <c r="AF915" i="7"/>
  <c r="V915" i="7"/>
  <c r="Q915" i="7"/>
  <c r="BE911" i="7"/>
  <c r="BD911" i="7"/>
  <c r="AJ911" i="7"/>
  <c r="AA911" i="7"/>
  <c r="G911" i="7"/>
  <c r="F911" i="7"/>
  <c r="L909" i="7"/>
  <c r="K909" i="7"/>
  <c r="G909" i="7"/>
  <c r="F909" i="7"/>
  <c r="BO903" i="7"/>
  <c r="BN903" i="7"/>
  <c r="BJ903" i="7"/>
  <c r="BI903" i="7"/>
  <c r="BE903" i="7"/>
  <c r="BD903" i="7"/>
  <c r="AZ903" i="7"/>
  <c r="AY903" i="7"/>
  <c r="AU903" i="7"/>
  <c r="AT903" i="7"/>
  <c r="AP903" i="7"/>
  <c r="AO903" i="7"/>
  <c r="AK903" i="7"/>
  <c r="AJ903" i="7"/>
  <c r="AF903" i="7"/>
  <c r="AE903" i="7"/>
  <c r="AA903" i="7"/>
  <c r="Z903" i="7"/>
  <c r="V903" i="7"/>
  <c r="U903" i="7"/>
  <c r="Q903" i="7"/>
  <c r="P903" i="7"/>
  <c r="L903" i="7"/>
  <c r="K903" i="7"/>
  <c r="G903" i="7"/>
  <c r="F903" i="7"/>
  <c r="BO902" i="7"/>
  <c r="BN902" i="7"/>
  <c r="BJ902" i="7"/>
  <c r="BI902" i="7"/>
  <c r="AZ902" i="7"/>
  <c r="AY902" i="7"/>
  <c r="BE899" i="7"/>
  <c r="AZ899" i="7"/>
  <c r="AY899" i="7"/>
  <c r="AF899" i="7"/>
  <c r="AE899" i="7"/>
  <c r="AA899" i="7"/>
  <c r="Z899" i="7"/>
  <c r="V899" i="7"/>
  <c r="U899" i="7"/>
  <c r="Q899" i="7"/>
  <c r="P899" i="7"/>
  <c r="L899" i="7"/>
  <c r="K899" i="7"/>
  <c r="AK898" i="7"/>
  <c r="AJ898" i="7"/>
  <c r="V898" i="7"/>
  <c r="L898" i="7"/>
  <c r="K898" i="7"/>
  <c r="F898" i="7"/>
  <c r="BO897" i="7"/>
  <c r="BN897" i="7"/>
  <c r="BE897" i="7"/>
  <c r="BD897" i="7"/>
  <c r="AZ897" i="7"/>
  <c r="AY897" i="7"/>
  <c r="AZ896" i="7"/>
  <c r="AY896" i="7"/>
  <c r="BJ894" i="7"/>
  <c r="BI894" i="7"/>
  <c r="AZ894" i="7"/>
  <c r="AY894" i="7"/>
  <c r="BO892" i="7"/>
  <c r="BN892" i="7"/>
  <c r="BJ892" i="7"/>
  <c r="BI892" i="7"/>
  <c r="BE892" i="7"/>
  <c r="BD892" i="7"/>
  <c r="AZ892" i="7"/>
  <c r="AY892" i="7"/>
  <c r="BO890" i="7"/>
  <c r="BN890" i="7"/>
  <c r="AF890" i="7"/>
  <c r="AE890" i="7"/>
  <c r="BE889" i="7"/>
  <c r="BD889" i="7"/>
  <c r="AZ889" i="7"/>
  <c r="AY889" i="7"/>
  <c r="BE888" i="7"/>
  <c r="BD888" i="7"/>
  <c r="AZ888" i="7"/>
  <c r="AY888" i="7"/>
  <c r="AA888" i="7"/>
  <c r="V888" i="7"/>
  <c r="U888" i="7"/>
  <c r="Q888" i="7"/>
  <c r="L888" i="7"/>
  <c r="K888" i="7"/>
  <c r="BE887" i="7"/>
  <c r="BD887" i="7"/>
  <c r="Q883" i="7"/>
  <c r="P883" i="7"/>
  <c r="BO881" i="7"/>
  <c r="BN881" i="7"/>
  <c r="BE881" i="7"/>
  <c r="BD881" i="7"/>
  <c r="V881" i="7"/>
  <c r="U881" i="7"/>
  <c r="Q881" i="7"/>
  <c r="P881" i="7"/>
  <c r="BO880" i="7"/>
  <c r="BN880" i="7"/>
  <c r="AZ880" i="7"/>
  <c r="AY880" i="7"/>
  <c r="AZ877" i="7"/>
  <c r="AY877" i="7"/>
  <c r="AZ874" i="7"/>
  <c r="AY874" i="7"/>
  <c r="AF873" i="7"/>
  <c r="AE873" i="7"/>
  <c r="V873" i="7"/>
  <c r="U873" i="7"/>
  <c r="AK871" i="7"/>
  <c r="AJ871" i="7"/>
  <c r="L871" i="7"/>
  <c r="K871" i="7"/>
  <c r="G871" i="7"/>
  <c r="F871" i="7"/>
  <c r="AF869" i="7"/>
  <c r="AE869" i="7"/>
  <c r="V869" i="7"/>
  <c r="U869" i="7"/>
  <c r="Q869" i="7"/>
  <c r="BD868" i="7"/>
  <c r="BE860" i="7"/>
  <c r="AZ860" i="7"/>
  <c r="BE855" i="7"/>
  <c r="AZ855" i="7"/>
  <c r="BJ851" i="7"/>
  <c r="BI851" i="7"/>
  <c r="BE850" i="7"/>
  <c r="BD850" i="7"/>
  <c r="AK850" i="7"/>
  <c r="AJ850" i="7"/>
  <c r="AF850" i="7"/>
  <c r="V850" i="7"/>
  <c r="U850" i="7"/>
  <c r="P850" i="7"/>
  <c r="K850" i="7"/>
  <c r="BJ847" i="7"/>
  <c r="BI847" i="7"/>
  <c r="L847" i="7"/>
  <c r="K847" i="7"/>
  <c r="BJ844" i="7"/>
  <c r="BI844" i="7"/>
  <c r="BO842" i="7"/>
  <c r="BN842" i="7"/>
  <c r="BJ842" i="7"/>
  <c r="BI842" i="7"/>
  <c r="BE842" i="7"/>
  <c r="BD842" i="7"/>
  <c r="AZ842" i="7"/>
  <c r="AY842" i="7"/>
  <c r="AK842" i="7"/>
  <c r="AJ842" i="7"/>
  <c r="AF842" i="7"/>
  <c r="AE842" i="7"/>
  <c r="V842" i="7"/>
  <c r="U842" i="7"/>
  <c r="Q842" i="7"/>
  <c r="P842" i="7"/>
  <c r="L842" i="7"/>
  <c r="K842" i="7"/>
  <c r="G842" i="7"/>
  <c r="F842" i="7"/>
  <c r="AT841" i="7"/>
  <c r="AF841" i="7"/>
  <c r="AE841" i="7"/>
  <c r="V841" i="7"/>
  <c r="U841" i="7"/>
  <c r="Q841" i="7"/>
  <c r="P841" i="7"/>
  <c r="BJ840" i="7"/>
  <c r="BI840" i="7"/>
  <c r="BE839" i="7"/>
  <c r="AZ839" i="7"/>
  <c r="AF839" i="7"/>
  <c r="AE839" i="7"/>
  <c r="V839" i="7"/>
  <c r="U839" i="7"/>
  <c r="Q839" i="7"/>
  <c r="P839" i="7"/>
  <c r="L839" i="7"/>
  <c r="K839" i="7"/>
  <c r="G839" i="7"/>
  <c r="BE838" i="7"/>
  <c r="AZ838" i="7"/>
  <c r="AF836" i="7"/>
  <c r="AE836" i="7"/>
  <c r="V836" i="7"/>
  <c r="U836" i="7"/>
  <c r="L833" i="7"/>
  <c r="K833" i="7"/>
  <c r="BJ831" i="7"/>
  <c r="BI831" i="7"/>
  <c r="L831" i="7"/>
  <c r="K831" i="7"/>
  <c r="BJ828" i="7"/>
  <c r="BI828" i="7"/>
  <c r="BE828" i="7"/>
  <c r="AZ828" i="7"/>
  <c r="BJ825" i="7"/>
  <c r="BI825" i="7"/>
  <c r="Q825" i="7"/>
  <c r="P825" i="7"/>
  <c r="L825" i="7"/>
  <c r="K825" i="7"/>
  <c r="G825" i="7"/>
  <c r="F825" i="7"/>
  <c r="BE823" i="7"/>
  <c r="AF823" i="7"/>
  <c r="Q823" i="7"/>
  <c r="K823" i="7"/>
  <c r="BJ821" i="7"/>
  <c r="BI821" i="7"/>
  <c r="BE819" i="7"/>
  <c r="AZ819" i="7"/>
  <c r="AF819" i="7"/>
  <c r="AE819" i="7"/>
  <c r="V819" i="7"/>
  <c r="U819" i="7"/>
  <c r="BO815" i="7"/>
  <c r="BN815" i="7"/>
  <c r="BE815" i="7"/>
  <c r="AZ815" i="7"/>
  <c r="AY815" i="7"/>
  <c r="L815" i="7"/>
  <c r="K815" i="7"/>
  <c r="BJ814" i="7"/>
  <c r="BI814" i="7"/>
  <c r="BE814" i="7"/>
  <c r="AK814" i="7"/>
  <c r="AJ814" i="7"/>
  <c r="AF814" i="7"/>
  <c r="AE814" i="7"/>
  <c r="V814" i="7"/>
  <c r="Q814" i="7"/>
  <c r="P814" i="7"/>
  <c r="L814" i="7"/>
  <c r="K814" i="7"/>
  <c r="G814" i="7"/>
  <c r="F814" i="7"/>
  <c r="BE813" i="7"/>
  <c r="BO812" i="7"/>
  <c r="BN812" i="7"/>
  <c r="BJ812" i="7"/>
  <c r="BI812" i="7"/>
  <c r="BE812" i="7"/>
  <c r="BO811" i="7"/>
  <c r="BN811" i="7"/>
  <c r="BJ811" i="7"/>
  <c r="BI811" i="7"/>
  <c r="BE811" i="7"/>
  <c r="BD811" i="7"/>
  <c r="AF811" i="7"/>
  <c r="AE811" i="7"/>
  <c r="L811" i="7"/>
  <c r="K811" i="7"/>
  <c r="G811" i="7"/>
  <c r="F811" i="7"/>
  <c r="BE806" i="7"/>
  <c r="BD806" i="7"/>
  <c r="BE794" i="7"/>
  <c r="BD794" i="7"/>
  <c r="AK793" i="7"/>
  <c r="AJ793" i="7"/>
  <c r="L793" i="7"/>
  <c r="K793" i="7"/>
  <c r="V785" i="7"/>
  <c r="U785" i="7"/>
  <c r="P785" i="7"/>
  <c r="L785" i="7"/>
  <c r="K785" i="7"/>
  <c r="F785" i="7"/>
  <c r="AF779" i="7"/>
  <c r="V779" i="7"/>
  <c r="U779" i="7"/>
  <c r="Q779" i="7"/>
  <c r="P779" i="7"/>
  <c r="BO773" i="7"/>
  <c r="BN773" i="7"/>
  <c r="BE773" i="7"/>
  <c r="BD773" i="7"/>
  <c r="AY773" i="7"/>
  <c r="AK773" i="7"/>
  <c r="AJ773" i="7"/>
  <c r="L773" i="7"/>
  <c r="K773" i="7"/>
  <c r="BO763" i="7"/>
  <c r="BN763" i="7"/>
  <c r="BO758" i="7"/>
  <c r="BN758" i="7"/>
  <c r="BE758" i="7"/>
  <c r="BD758" i="7"/>
  <c r="AU757" i="7"/>
  <c r="AT757" i="7"/>
  <c r="Z757" i="7"/>
  <c r="U757" i="7"/>
  <c r="Q757" i="7"/>
  <c r="P757" i="7"/>
  <c r="L757" i="7"/>
  <c r="K757" i="7"/>
  <c r="BJ755" i="7"/>
  <c r="BI755" i="7"/>
  <c r="BE755" i="7"/>
  <c r="BD755" i="7"/>
  <c r="AZ755" i="7"/>
  <c r="AY755" i="7"/>
  <c r="Q755" i="7"/>
  <c r="P755" i="7"/>
  <c r="BE753" i="7"/>
  <c r="BD753" i="7"/>
  <c r="AZ753" i="7"/>
  <c r="AY753" i="7"/>
  <c r="BE752" i="7"/>
  <c r="BD752" i="7"/>
  <c r="AZ752" i="7"/>
  <c r="AY752" i="7"/>
  <c r="BE751" i="7"/>
  <c r="BD751" i="7"/>
  <c r="AZ751" i="7"/>
  <c r="AY751" i="7"/>
  <c r="AE751" i="7"/>
  <c r="V751" i="7"/>
  <c r="U751" i="7"/>
  <c r="Q751" i="7"/>
  <c r="BJ749" i="7"/>
  <c r="BI749" i="7"/>
  <c r="BJ747" i="7"/>
  <c r="BI747" i="7"/>
  <c r="BE747" i="7"/>
  <c r="BD747" i="7"/>
  <c r="AZ747" i="7"/>
  <c r="AY747" i="7"/>
  <c r="AJ747" i="7"/>
  <c r="U747" i="7"/>
  <c r="Q747" i="7"/>
  <c r="P747" i="7"/>
  <c r="L747" i="7"/>
  <c r="K747" i="7"/>
  <c r="G747" i="7"/>
  <c r="F747" i="7"/>
  <c r="Q746" i="7"/>
  <c r="P746" i="7"/>
  <c r="L746" i="7"/>
  <c r="K746" i="7"/>
  <c r="BD745" i="7"/>
  <c r="AY745" i="7"/>
  <c r="BE743" i="7"/>
  <c r="BD743" i="7"/>
  <c r="AZ743" i="7"/>
  <c r="AY743" i="7"/>
  <c r="BN742" i="7"/>
  <c r="BJ742" i="7"/>
  <c r="BE742" i="7"/>
  <c r="BD742" i="7"/>
  <c r="AZ742" i="7"/>
  <c r="AY742" i="7"/>
  <c r="AU742" i="7"/>
  <c r="AT742" i="7"/>
  <c r="AF742" i="7"/>
  <c r="AE742" i="7"/>
  <c r="AA742" i="7"/>
  <c r="Z742" i="7"/>
  <c r="V742" i="7"/>
  <c r="U742" i="7"/>
  <c r="Q742" i="7"/>
  <c r="P742" i="7"/>
  <c r="L742" i="7"/>
  <c r="AF740" i="7"/>
  <c r="AE740" i="7"/>
  <c r="V740" i="7"/>
  <c r="U740" i="7"/>
  <c r="Q740" i="7"/>
  <c r="P740" i="7"/>
  <c r="BJ738" i="7"/>
  <c r="BI738" i="7"/>
  <c r="BE738" i="7"/>
  <c r="BD738" i="7"/>
  <c r="AZ738" i="7"/>
  <c r="AY738" i="7"/>
  <c r="AF738" i="7"/>
  <c r="AE738" i="7"/>
  <c r="V738" i="7"/>
  <c r="U738" i="7"/>
  <c r="Q738" i="7"/>
  <c r="P738" i="7"/>
  <c r="BO737" i="7"/>
  <c r="BN737" i="7"/>
  <c r="BJ737" i="7"/>
  <c r="BI737" i="7"/>
  <c r="AZ735" i="7"/>
  <c r="AY735" i="7"/>
  <c r="BJ734" i="7"/>
  <c r="BI734" i="7"/>
  <c r="BE734" i="7"/>
  <c r="BD734" i="7"/>
  <c r="BE733" i="7"/>
  <c r="AZ733" i="7"/>
  <c r="BE731" i="7"/>
  <c r="BD731" i="7"/>
  <c r="AZ731" i="7"/>
  <c r="AY731" i="7"/>
  <c r="AU731" i="7"/>
  <c r="AT731" i="7"/>
  <c r="AF731" i="7"/>
  <c r="AE731" i="7"/>
  <c r="V731" i="7"/>
  <c r="U731" i="7"/>
  <c r="Q731" i="7"/>
  <c r="P731" i="7"/>
  <c r="BE730" i="7"/>
  <c r="BD730" i="7"/>
  <c r="AZ730" i="7"/>
  <c r="AY730" i="7"/>
  <c r="AU730" i="7"/>
  <c r="AT730" i="7"/>
  <c r="AF730" i="7"/>
  <c r="AE730" i="7"/>
  <c r="U730" i="7"/>
  <c r="Q730" i="7"/>
  <c r="P730" i="7"/>
  <c r="BO729" i="7"/>
  <c r="BN729" i="7"/>
  <c r="BJ729" i="7"/>
  <c r="BI729" i="7"/>
  <c r="BE729" i="7"/>
  <c r="BD729" i="7"/>
  <c r="AZ729" i="7"/>
  <c r="AY729" i="7"/>
  <c r="AK729" i="7"/>
  <c r="AJ729" i="7"/>
  <c r="AF729" i="7"/>
  <c r="AE729" i="7"/>
  <c r="V729" i="7"/>
  <c r="U729" i="7"/>
  <c r="Q729" i="7"/>
  <c r="P729" i="7"/>
  <c r="L729" i="7"/>
  <c r="K729" i="7"/>
  <c r="G729" i="7"/>
  <c r="F729" i="7"/>
  <c r="BO728" i="7"/>
  <c r="BN728" i="7"/>
  <c r="BE728" i="7"/>
  <c r="BD728" i="7"/>
  <c r="AK728" i="7"/>
  <c r="AJ728" i="7"/>
  <c r="L728" i="7"/>
  <c r="K728" i="7"/>
  <c r="AF726" i="7"/>
  <c r="V726" i="7"/>
  <c r="U726" i="7"/>
  <c r="P726" i="7"/>
  <c r="V723" i="7"/>
  <c r="U723" i="7"/>
  <c r="Q723" i="7"/>
  <c r="P723" i="7"/>
  <c r="AF718" i="7"/>
  <c r="AE718" i="7"/>
  <c r="V718" i="7"/>
  <c r="U718" i="7"/>
  <c r="Q718" i="7"/>
  <c r="P718" i="7"/>
  <c r="AF717" i="7"/>
  <c r="AE717" i="7"/>
  <c r="V717" i="7"/>
  <c r="U717" i="7"/>
  <c r="Q717" i="7"/>
  <c r="P717" i="7"/>
  <c r="BE715" i="7"/>
  <c r="AZ715" i="7"/>
  <c r="AU715" i="7"/>
  <c r="AA715" i="7"/>
  <c r="Z715" i="7"/>
  <c r="V715" i="7"/>
  <c r="U715" i="7"/>
  <c r="Q715" i="7"/>
  <c r="P715" i="7"/>
  <c r="L715" i="7"/>
  <c r="K715" i="7"/>
  <c r="BO711" i="7"/>
  <c r="BN711" i="7"/>
  <c r="BJ711" i="7"/>
  <c r="BI711" i="7"/>
  <c r="BE711" i="7"/>
  <c r="BD711" i="7"/>
  <c r="L711" i="7"/>
  <c r="K711" i="7"/>
  <c r="BO710" i="7"/>
  <c r="BN710" i="7"/>
  <c r="BJ710" i="7"/>
  <c r="BI710" i="7"/>
  <c r="BO709" i="7"/>
  <c r="BN709" i="7"/>
  <c r="BE709" i="7"/>
  <c r="BD709" i="7"/>
  <c r="BE706" i="7"/>
  <c r="BO705" i="7"/>
  <c r="BN705" i="7"/>
  <c r="BJ705" i="7"/>
  <c r="BI705" i="7"/>
  <c r="BE705" i="7"/>
  <c r="BD705" i="7"/>
  <c r="AK705" i="7"/>
  <c r="L705" i="7"/>
  <c r="K705" i="7"/>
  <c r="BO704" i="7"/>
  <c r="BN704" i="7"/>
  <c r="AZ704" i="7"/>
  <c r="AY704" i="7"/>
  <c r="BO699" i="7"/>
  <c r="BN699" i="7"/>
  <c r="BJ699" i="7"/>
  <c r="BI699" i="7"/>
  <c r="BE699" i="7"/>
  <c r="BD699" i="7"/>
  <c r="AF699" i="7"/>
  <c r="AE699" i="7"/>
  <c r="AZ698" i="7"/>
  <c r="AY698" i="7"/>
  <c r="BO696" i="7"/>
  <c r="BN696" i="7"/>
  <c r="BJ696" i="7"/>
  <c r="BI696" i="7"/>
  <c r="AZ696" i="7"/>
  <c r="AY696" i="7"/>
  <c r="BO694" i="7"/>
  <c r="BN694" i="7"/>
  <c r="BJ694" i="7"/>
  <c r="BI694" i="7"/>
  <c r="BE694" i="7"/>
  <c r="BD694" i="7"/>
  <c r="BO693" i="7"/>
  <c r="BN693" i="7"/>
  <c r="AZ693" i="7"/>
  <c r="AY693" i="7"/>
  <c r="AZ689" i="7"/>
  <c r="AY689" i="7"/>
  <c r="AK689" i="7"/>
  <c r="AJ689" i="7"/>
  <c r="AF689" i="7"/>
  <c r="AE689" i="7"/>
  <c r="V689" i="7"/>
  <c r="U689" i="7"/>
  <c r="Q689" i="7"/>
  <c r="P689" i="7"/>
  <c r="L689" i="7"/>
  <c r="K689" i="7"/>
  <c r="AF688" i="7"/>
  <c r="AE688" i="7"/>
  <c r="V688" i="7"/>
  <c r="U688" i="7"/>
  <c r="Q688" i="7"/>
  <c r="P688" i="7"/>
  <c r="L688" i="7"/>
  <c r="K688" i="7"/>
  <c r="AK687" i="7"/>
  <c r="AJ687" i="7"/>
  <c r="Z687" i="7"/>
  <c r="V687" i="7"/>
  <c r="U687" i="7"/>
  <c r="Q687" i="7"/>
  <c r="P687" i="7"/>
  <c r="K687" i="7"/>
  <c r="AF686" i="7"/>
  <c r="AE686" i="7"/>
  <c r="V686" i="7"/>
  <c r="U686" i="7"/>
  <c r="Q686" i="7"/>
  <c r="P686" i="7"/>
  <c r="L686" i="7"/>
  <c r="AF683" i="7"/>
  <c r="AE683" i="7"/>
  <c r="V683" i="7"/>
  <c r="U683" i="7"/>
  <c r="Q683" i="7"/>
  <c r="P683" i="7"/>
  <c r="L683" i="7"/>
  <c r="AZ682" i="7"/>
  <c r="AY682" i="7"/>
  <c r="BO681" i="7"/>
  <c r="BN681" i="7"/>
  <c r="L681" i="7"/>
  <c r="K681" i="7"/>
  <c r="BO678" i="7"/>
  <c r="BN678" i="7"/>
  <c r="BJ678" i="7"/>
  <c r="BI678" i="7"/>
  <c r="AZ678" i="7"/>
  <c r="AY678" i="7"/>
  <c r="BO677" i="7"/>
  <c r="BN677" i="7"/>
  <c r="L677" i="7"/>
  <c r="K677" i="7"/>
  <c r="AY676" i="7"/>
  <c r="AU676" i="7"/>
  <c r="AT676" i="7"/>
  <c r="AK676" i="7"/>
  <c r="AJ676" i="7"/>
  <c r="L675" i="7"/>
  <c r="K675" i="7"/>
  <c r="BO670" i="7"/>
  <c r="BN670" i="7"/>
  <c r="AZ668" i="7"/>
  <c r="AY668" i="7"/>
  <c r="AE663" i="7"/>
  <c r="P663" i="7"/>
  <c r="AZ661" i="7"/>
  <c r="AY661" i="7"/>
  <c r="BO658" i="7"/>
  <c r="BN658" i="7"/>
  <c r="AZ658" i="7"/>
  <c r="AY658" i="7"/>
  <c r="AU656" i="7"/>
  <c r="AF656" i="7"/>
  <c r="AE656" i="7"/>
  <c r="V656" i="7"/>
  <c r="U656" i="7"/>
  <c r="Q656" i="7"/>
  <c r="P656" i="7"/>
  <c r="BO653" i="7"/>
  <c r="BN653" i="7"/>
  <c r="BE653" i="7"/>
  <c r="BD653" i="7"/>
  <c r="AZ653" i="7"/>
  <c r="AY653" i="7"/>
  <c r="AZ652" i="7"/>
  <c r="AY652" i="7"/>
  <c r="AT651" i="7"/>
  <c r="AE650" i="7"/>
  <c r="P650" i="7"/>
  <c r="AF647" i="7"/>
  <c r="AE647" i="7"/>
  <c r="V647" i="7"/>
  <c r="U647" i="7"/>
  <c r="Q647" i="7"/>
  <c r="P647" i="7"/>
  <c r="BO643" i="7"/>
  <c r="BN643" i="7"/>
  <c r="AZ643" i="7"/>
  <c r="AY643" i="7"/>
  <c r="AK643" i="7"/>
  <c r="P643" i="7"/>
  <c r="L643" i="7"/>
  <c r="AZ641" i="7"/>
  <c r="AF641" i="7"/>
  <c r="AE641" i="7"/>
  <c r="Z641" i="7"/>
  <c r="V641" i="7"/>
  <c r="U641" i="7"/>
  <c r="Q641" i="7"/>
  <c r="P641" i="7"/>
  <c r="AZ638" i="7"/>
  <c r="AY638" i="7"/>
  <c r="AF638" i="7"/>
  <c r="AE638" i="7"/>
  <c r="V638" i="7"/>
  <c r="U638" i="7"/>
  <c r="Q638" i="7"/>
  <c r="P638" i="7"/>
  <c r="AZ636" i="7"/>
  <c r="AY636" i="7"/>
  <c r="BO635" i="7"/>
  <c r="BN635" i="7"/>
  <c r="BE635" i="7"/>
  <c r="BD635" i="7"/>
  <c r="AZ635" i="7"/>
  <c r="AY635" i="7"/>
  <c r="AA635" i="7"/>
  <c r="Z635" i="7"/>
  <c r="Q635" i="7"/>
  <c r="P635" i="7"/>
  <c r="L635" i="7"/>
  <c r="K635" i="7"/>
  <c r="G635" i="7"/>
  <c r="F635" i="7"/>
  <c r="BO634" i="7"/>
  <c r="BN634" i="7"/>
  <c r="BE634" i="7"/>
  <c r="BD634" i="7"/>
  <c r="AZ634" i="7"/>
  <c r="AY634" i="7"/>
  <c r="AK634" i="7"/>
  <c r="AJ634" i="7"/>
  <c r="AF634" i="7"/>
  <c r="AE634" i="7"/>
  <c r="V634" i="7"/>
  <c r="U634" i="7"/>
  <c r="Q634" i="7"/>
  <c r="P634" i="7"/>
  <c r="L634" i="7"/>
  <c r="K634" i="7"/>
  <c r="AK628" i="7"/>
  <c r="BO626" i="7"/>
  <c r="BN626" i="7"/>
  <c r="AZ626" i="7"/>
  <c r="AY626" i="7"/>
  <c r="AE625" i="7"/>
  <c r="U625" i="7"/>
  <c r="BO624" i="7"/>
  <c r="BN624" i="7"/>
  <c r="AZ624" i="7"/>
  <c r="AY624" i="7"/>
  <c r="BE620" i="7"/>
  <c r="AZ620" i="7"/>
  <c r="AY620" i="7"/>
  <c r="AU620" i="7"/>
  <c r="AK620" i="7"/>
  <c r="AJ620" i="7"/>
  <c r="AF620" i="7"/>
  <c r="AE620" i="7"/>
  <c r="AA620" i="7"/>
  <c r="Z620" i="7"/>
  <c r="V620" i="7"/>
  <c r="U620" i="7"/>
  <c r="Q620" i="7"/>
  <c r="P620" i="7"/>
  <c r="AZ619" i="7"/>
  <c r="AY619" i="7"/>
  <c r="BO617" i="7"/>
  <c r="BN617" i="7"/>
  <c r="BO616" i="7"/>
  <c r="BN616" i="7"/>
  <c r="AZ616" i="7"/>
  <c r="AY616" i="7"/>
  <c r="BE613" i="7"/>
  <c r="BD613" i="7"/>
  <c r="AY613" i="7"/>
  <c r="AU613" i="7"/>
  <c r="AK613" i="7"/>
  <c r="AJ613" i="7"/>
  <c r="AF613" i="7"/>
  <c r="AE613" i="7"/>
  <c r="AA613" i="7"/>
  <c r="V613" i="7"/>
  <c r="U613" i="7"/>
  <c r="Q613" i="7"/>
  <c r="P613" i="7"/>
  <c r="L613" i="7"/>
  <c r="K613" i="7"/>
  <c r="BO612" i="7"/>
  <c r="BN612" i="7"/>
  <c r="AZ612" i="7"/>
  <c r="AY612" i="7"/>
  <c r="AU612" i="7"/>
  <c r="AT612" i="7"/>
  <c r="AF612" i="7"/>
  <c r="AE612" i="7"/>
  <c r="V612" i="7"/>
  <c r="U612" i="7"/>
  <c r="Q612" i="7"/>
  <c r="P612" i="7"/>
  <c r="BO606" i="7"/>
  <c r="BN606" i="7"/>
  <c r="BO605" i="7"/>
  <c r="BN605" i="7"/>
  <c r="BE605" i="7"/>
  <c r="BD605" i="7"/>
  <c r="AZ605" i="7"/>
  <c r="AY605" i="7"/>
  <c r="AK605" i="7"/>
  <c r="AJ605" i="7"/>
  <c r="AA605" i="7"/>
  <c r="Z605" i="7"/>
  <c r="Q605" i="7"/>
  <c r="P605" i="7"/>
  <c r="L605" i="7"/>
  <c r="K605" i="7"/>
  <c r="BO604" i="7"/>
  <c r="BN604" i="7"/>
  <c r="BJ604" i="7"/>
  <c r="BI604" i="7"/>
  <c r="BE604" i="7"/>
  <c r="BD604" i="7"/>
  <c r="BJ603" i="7"/>
  <c r="BI603" i="7"/>
  <c r="BE603" i="7"/>
  <c r="BD603" i="7"/>
  <c r="BO602" i="7"/>
  <c r="BN602" i="7"/>
  <c r="BJ602" i="7"/>
  <c r="BI602" i="7"/>
  <c r="BE602" i="7"/>
  <c r="BD602" i="7"/>
  <c r="L602" i="7"/>
  <c r="BO601" i="7"/>
  <c r="BN601" i="7"/>
  <c r="BJ601" i="7"/>
  <c r="BI601" i="7"/>
  <c r="BO600" i="7"/>
  <c r="BN600" i="7"/>
  <c r="BE600" i="7"/>
  <c r="BD600" i="7"/>
  <c r="BO599" i="7"/>
  <c r="BN599" i="7"/>
  <c r="BO598" i="7"/>
  <c r="BN598" i="7"/>
  <c r="BJ598" i="7"/>
  <c r="BI598" i="7"/>
  <c r="BE598" i="7"/>
  <c r="BD598" i="7"/>
  <c r="AZ598" i="7"/>
  <c r="AY598" i="7"/>
  <c r="AK598" i="7"/>
  <c r="AJ598" i="7"/>
  <c r="V598" i="7"/>
  <c r="U598" i="7"/>
  <c r="Q598" i="7"/>
  <c r="P598" i="7"/>
  <c r="L598" i="7"/>
  <c r="K598" i="7"/>
  <c r="BO596" i="7"/>
  <c r="BN596" i="7"/>
  <c r="BJ596" i="7"/>
  <c r="BI596" i="7"/>
  <c r="BE596" i="7"/>
  <c r="BD596" i="7"/>
  <c r="AZ594" i="7"/>
  <c r="AY594" i="7"/>
  <c r="BO593" i="7"/>
  <c r="BN593" i="7"/>
  <c r="BE593" i="7"/>
  <c r="BD593" i="7"/>
  <c r="AZ593" i="7"/>
  <c r="AY593" i="7"/>
  <c r="BO592" i="7"/>
  <c r="BN592" i="7"/>
  <c r="BJ592" i="7"/>
  <c r="BI592" i="7"/>
  <c r="AZ592" i="7"/>
  <c r="AY592" i="7"/>
  <c r="AU592" i="7"/>
  <c r="AT592" i="7"/>
  <c r="AK592" i="7"/>
  <c r="AJ592" i="7"/>
  <c r="AF592" i="7"/>
  <c r="AE592" i="7"/>
  <c r="AA592" i="7"/>
  <c r="Z592" i="7"/>
  <c r="V592" i="7"/>
  <c r="U592" i="7"/>
  <c r="Q592" i="7"/>
  <c r="P592" i="7"/>
  <c r="L592" i="7"/>
  <c r="K592" i="7"/>
  <c r="G592" i="7"/>
  <c r="F592" i="7"/>
  <c r="AF591" i="7"/>
  <c r="AE591" i="7"/>
  <c r="V591" i="7"/>
  <c r="U591" i="7"/>
  <c r="Q591" i="7"/>
  <c r="P591" i="7"/>
  <c r="AZ590" i="7"/>
  <c r="AY590" i="7"/>
  <c r="AE590" i="7"/>
  <c r="V590" i="7"/>
  <c r="U590" i="7"/>
  <c r="Q590" i="7"/>
  <c r="P590" i="7"/>
  <c r="BO589" i="7"/>
  <c r="BN589" i="7"/>
  <c r="BJ589" i="7"/>
  <c r="BI589" i="7"/>
  <c r="AZ589" i="7"/>
  <c r="AY589" i="7"/>
  <c r="L589" i="7"/>
  <c r="K589" i="7"/>
  <c r="BO588" i="7"/>
  <c r="BN588" i="7"/>
  <c r="BJ588" i="7"/>
  <c r="BI588" i="7"/>
  <c r="BE588" i="7"/>
  <c r="BD588" i="7"/>
  <c r="AZ588" i="7"/>
  <c r="AY588" i="7"/>
  <c r="BO586" i="7"/>
  <c r="BN586" i="7"/>
  <c r="BJ586" i="7"/>
  <c r="BI586" i="7"/>
  <c r="L586" i="7"/>
  <c r="BE585" i="7"/>
  <c r="BD585" i="7"/>
  <c r="AZ585" i="7"/>
  <c r="AY585" i="7"/>
  <c r="AF585" i="7"/>
  <c r="AE585" i="7"/>
  <c r="V585" i="7"/>
  <c r="U585" i="7"/>
  <c r="Q585" i="7"/>
  <c r="BO581" i="7"/>
  <c r="BN581" i="7"/>
  <c r="BJ581" i="7"/>
  <c r="BI581" i="7"/>
  <c r="BE581" i="7"/>
  <c r="BD581" i="7"/>
  <c r="AZ581" i="7"/>
  <c r="AY581" i="7"/>
  <c r="AK581" i="7"/>
  <c r="AJ581" i="7"/>
  <c r="L581" i="7"/>
  <c r="G581" i="7"/>
  <c r="F581" i="7"/>
  <c r="BO580" i="7"/>
  <c r="BN580" i="7"/>
  <c r="BJ580" i="7"/>
  <c r="BI580" i="7"/>
  <c r="BE580" i="7"/>
  <c r="BD580" i="7"/>
  <c r="AF580" i="7"/>
  <c r="AE580" i="7"/>
  <c r="L580" i="7"/>
  <c r="K580" i="7"/>
  <c r="AZ579" i="7"/>
  <c r="AY579" i="7"/>
  <c r="AF579" i="7"/>
  <c r="AE579" i="7"/>
  <c r="V579" i="7"/>
  <c r="U579" i="7"/>
  <c r="Q579" i="7"/>
  <c r="P579" i="7"/>
  <c r="BO577" i="7"/>
  <c r="BN577" i="7"/>
  <c r="BE577" i="7"/>
  <c r="BD577" i="7"/>
  <c r="BO576" i="7"/>
  <c r="BN576" i="7"/>
  <c r="AZ576" i="7"/>
  <c r="AY576" i="7"/>
  <c r="BO575" i="7"/>
  <c r="BN575" i="7"/>
  <c r="BE575" i="7"/>
  <c r="BD575" i="7"/>
  <c r="AZ575" i="7"/>
  <c r="AY575" i="7"/>
  <c r="BJ573" i="7"/>
  <c r="BI573" i="7"/>
  <c r="AF572" i="7"/>
  <c r="AE572" i="7"/>
  <c r="V572" i="7"/>
  <c r="U572" i="7"/>
  <c r="Q572" i="7"/>
  <c r="P572" i="7"/>
  <c r="AT569" i="7"/>
  <c r="AF569" i="7"/>
  <c r="AE569" i="7"/>
  <c r="V569" i="7"/>
  <c r="U569" i="7"/>
  <c r="Q569" i="7"/>
  <c r="P569" i="7"/>
  <c r="BJ567" i="7"/>
  <c r="BI567" i="7"/>
  <c r="AZ565" i="7"/>
  <c r="AY565" i="7"/>
  <c r="AF565" i="7"/>
  <c r="AE565" i="7"/>
  <c r="V565" i="7"/>
  <c r="U565" i="7"/>
  <c r="Q565" i="7"/>
  <c r="P565" i="7"/>
  <c r="BO563" i="7"/>
  <c r="BN563" i="7"/>
  <c r="BJ563" i="7"/>
  <c r="BI563" i="7"/>
  <c r="BE563" i="7"/>
  <c r="BD563" i="7"/>
  <c r="AZ563" i="7"/>
  <c r="AY563" i="7"/>
  <c r="AK563" i="7"/>
  <c r="AJ563" i="7"/>
  <c r="AF563" i="7"/>
  <c r="AE563" i="7"/>
  <c r="AA563" i="7"/>
  <c r="Z563" i="7"/>
  <c r="V563" i="7"/>
  <c r="U563" i="7"/>
  <c r="P563" i="7"/>
  <c r="L563" i="7"/>
  <c r="K563" i="7"/>
  <c r="G563" i="7"/>
  <c r="F563" i="7"/>
  <c r="BO562" i="7"/>
  <c r="BN562" i="7"/>
  <c r="AZ562" i="7"/>
  <c r="AY562" i="7"/>
  <c r="BO558" i="7"/>
  <c r="BN558" i="7"/>
  <c r="AZ558" i="7"/>
  <c r="AY558" i="7"/>
  <c r="BO556" i="7"/>
  <c r="BN556" i="7"/>
  <c r="BE556" i="7"/>
  <c r="BD556" i="7"/>
  <c r="AZ556" i="7"/>
  <c r="AY556" i="7"/>
  <c r="AF556" i="7"/>
  <c r="AE556" i="7"/>
  <c r="V556" i="7"/>
  <c r="U556" i="7"/>
  <c r="Q556" i="7"/>
  <c r="P556" i="7"/>
  <c r="BE555" i="7"/>
  <c r="BD555" i="7"/>
  <c r="AK555" i="7"/>
  <c r="AF555" i="7"/>
  <c r="AE555" i="7"/>
  <c r="Q555" i="7"/>
  <c r="L555" i="7"/>
  <c r="BO553" i="7"/>
  <c r="BN553" i="7"/>
  <c r="BJ553" i="7"/>
  <c r="BI553" i="7"/>
  <c r="BE553" i="7"/>
  <c r="BD553" i="7"/>
  <c r="AZ553" i="7"/>
  <c r="AY553" i="7"/>
  <c r="AK553" i="7"/>
  <c r="AJ553" i="7"/>
  <c r="AF553" i="7"/>
  <c r="AE553" i="7"/>
  <c r="L553" i="7"/>
  <c r="K553" i="7"/>
  <c r="G553" i="7"/>
  <c r="F553" i="7"/>
  <c r="BE552" i="7"/>
  <c r="BD552" i="7"/>
  <c r="AZ552" i="7"/>
  <c r="AY552" i="7"/>
  <c r="BE549" i="7"/>
  <c r="BD549" i="7"/>
  <c r="AF549" i="7"/>
  <c r="AE549" i="7"/>
  <c r="V549" i="7"/>
  <c r="U549" i="7"/>
  <c r="Q549" i="7"/>
  <c r="P549" i="7"/>
  <c r="BO548" i="7"/>
  <c r="BN548" i="7"/>
  <c r="BE548" i="7"/>
  <c r="BD548" i="7"/>
  <c r="AZ548" i="7"/>
  <c r="AY548" i="7"/>
  <c r="AF548" i="7"/>
  <c r="AE548" i="7"/>
  <c r="AA548" i="7"/>
  <c r="Z548" i="7"/>
  <c r="V548" i="7"/>
  <c r="U548" i="7"/>
  <c r="Q548" i="7"/>
  <c r="P548" i="7"/>
  <c r="L548" i="7"/>
  <c r="BO546" i="7"/>
  <c r="BN546" i="7"/>
  <c r="BJ546" i="7"/>
  <c r="BI546" i="7"/>
  <c r="BE546" i="7"/>
  <c r="BD546" i="7"/>
  <c r="AZ546" i="7"/>
  <c r="AY546" i="7"/>
  <c r="BJ545" i="7"/>
  <c r="BI545" i="7"/>
  <c r="AZ545" i="7"/>
  <c r="AY545" i="7"/>
  <c r="BO544" i="7"/>
  <c r="BN544" i="7"/>
  <c r="AZ544" i="7"/>
  <c r="AY544" i="7"/>
  <c r="BO542" i="7"/>
  <c r="BN542" i="7"/>
  <c r="BJ542" i="7"/>
  <c r="BI542" i="7"/>
  <c r="BE542" i="7"/>
  <c r="BD542" i="7"/>
  <c r="AZ542" i="7"/>
  <c r="AY542" i="7"/>
  <c r="L542" i="7"/>
  <c r="K542" i="7"/>
  <c r="AZ540" i="7"/>
  <c r="AY540" i="7"/>
  <c r="L539" i="7"/>
  <c r="BO535" i="7"/>
  <c r="BN535" i="7"/>
  <c r="BO534" i="7"/>
  <c r="BN534" i="7"/>
  <c r="BJ534" i="7"/>
  <c r="BI534" i="7"/>
  <c r="AZ534" i="7"/>
  <c r="AY534" i="7"/>
  <c r="AJ534" i="7"/>
  <c r="L534" i="7"/>
  <c r="K534" i="7"/>
  <c r="G534" i="7"/>
  <c r="F534" i="7"/>
  <c r="AF532" i="7"/>
  <c r="AE532" i="7"/>
  <c r="U532" i="7"/>
  <c r="Q532" i="7"/>
  <c r="BE531" i="7"/>
  <c r="BD531" i="7"/>
  <c r="BE530" i="7"/>
  <c r="BD530" i="7"/>
  <c r="AZ530" i="7"/>
  <c r="AY530" i="7"/>
  <c r="AK530" i="7"/>
  <c r="AJ530" i="7"/>
  <c r="AF530" i="7"/>
  <c r="AE530" i="7"/>
  <c r="AA530" i="7"/>
  <c r="Z530" i="7"/>
  <c r="V530" i="7"/>
  <c r="U530" i="7"/>
  <c r="Q530" i="7"/>
  <c r="P530" i="7"/>
  <c r="AF528" i="7"/>
  <c r="AE528" i="7"/>
  <c r="V528" i="7"/>
  <c r="U528" i="7"/>
  <c r="Q528" i="7"/>
  <c r="AE527" i="7"/>
  <c r="U527" i="7"/>
  <c r="BD524" i="7"/>
  <c r="AZ524" i="7"/>
  <c r="AY524" i="7"/>
  <c r="Q524" i="7"/>
  <c r="P524" i="7"/>
  <c r="L524" i="7"/>
  <c r="BJ523" i="7"/>
  <c r="BI523" i="7"/>
  <c r="AY522" i="7"/>
  <c r="AF522" i="7"/>
  <c r="AE522" i="7"/>
  <c r="Z522" i="7"/>
  <c r="V522" i="7"/>
  <c r="U522" i="7"/>
  <c r="Q522" i="7"/>
  <c r="P522" i="7"/>
  <c r="L522" i="7"/>
  <c r="K522" i="7"/>
  <c r="AF521" i="7"/>
  <c r="AE521" i="7"/>
  <c r="V521" i="7"/>
  <c r="U521" i="7"/>
  <c r="Q521" i="7"/>
  <c r="P521" i="7"/>
  <c r="AF520" i="7"/>
  <c r="AE520" i="7"/>
  <c r="V520" i="7"/>
  <c r="U520" i="7"/>
  <c r="Q520" i="7"/>
  <c r="P520" i="7"/>
  <c r="BO519" i="7"/>
  <c r="BN519" i="7"/>
  <c r="AZ519" i="7"/>
  <c r="AY519" i="7"/>
  <c r="BO517" i="7"/>
  <c r="BN517" i="7"/>
  <c r="BE517" i="7"/>
  <c r="BD517" i="7"/>
  <c r="AZ517" i="7"/>
  <c r="AY517" i="7"/>
  <c r="AF517" i="7"/>
  <c r="AE517" i="7"/>
  <c r="U517" i="7"/>
  <c r="Q517" i="7"/>
  <c r="P517" i="7"/>
  <c r="L517" i="7"/>
  <c r="K517" i="7"/>
  <c r="AF516" i="7"/>
  <c r="V516" i="7"/>
  <c r="U516" i="7"/>
  <c r="Q516" i="7"/>
  <c r="P516" i="7"/>
  <c r="BD515" i="7"/>
  <c r="AO515" i="7"/>
  <c r="Z515" i="7"/>
  <c r="V515" i="7"/>
  <c r="U515" i="7"/>
  <c r="Q515" i="7"/>
  <c r="P515" i="7"/>
  <c r="K515" i="7"/>
  <c r="BO514" i="7"/>
  <c r="BN514" i="7"/>
  <c r="BJ514" i="7"/>
  <c r="BI514" i="7"/>
  <c r="BE514" i="7"/>
  <c r="BD514" i="7"/>
  <c r="AZ514" i="7"/>
  <c r="AY514" i="7"/>
  <c r="BO513" i="7"/>
  <c r="BN513" i="7"/>
  <c r="BE513" i="7"/>
  <c r="BD513" i="7"/>
  <c r="AZ513" i="7"/>
  <c r="AY513" i="7"/>
  <c r="BO512" i="7"/>
  <c r="BN512" i="7"/>
  <c r="BE512" i="7"/>
  <c r="BD512" i="7"/>
  <c r="AZ512" i="7"/>
  <c r="AY512" i="7"/>
  <c r="AK512" i="7"/>
  <c r="AJ512" i="7"/>
  <c r="U512" i="7"/>
  <c r="Q512" i="7"/>
  <c r="P512" i="7"/>
  <c r="L512" i="7"/>
  <c r="K512" i="7"/>
  <c r="AF511" i="7"/>
  <c r="AE511" i="7"/>
  <c r="V511" i="7"/>
  <c r="U511" i="7"/>
  <c r="Q511" i="7"/>
  <c r="P511" i="7"/>
  <c r="BO510" i="7"/>
  <c r="BN510" i="7"/>
  <c r="AZ510" i="7"/>
  <c r="AY510" i="7"/>
  <c r="Z510" i="7"/>
  <c r="Q510" i="7"/>
  <c r="P510" i="7"/>
  <c r="AZ509" i="7"/>
  <c r="AY509" i="7"/>
  <c r="BO508" i="7"/>
  <c r="BN508" i="7"/>
  <c r="AK508" i="7"/>
  <c r="AJ508" i="7"/>
  <c r="AF508" i="7"/>
  <c r="AE508" i="7"/>
  <c r="V508" i="7"/>
  <c r="Q508" i="7"/>
  <c r="P508" i="7"/>
  <c r="L508" i="7"/>
  <c r="K508" i="7"/>
  <c r="BE507" i="7"/>
  <c r="AZ507" i="7"/>
  <c r="AY507" i="7"/>
  <c r="BJ506" i="7"/>
  <c r="BI506" i="7"/>
  <c r="BE506" i="7"/>
  <c r="BD506" i="7"/>
  <c r="AZ506" i="7"/>
  <c r="AY506" i="7"/>
  <c r="AF506" i="7"/>
  <c r="AE506" i="7"/>
  <c r="AA506" i="7"/>
  <c r="Z506" i="7"/>
  <c r="V506" i="7"/>
  <c r="U506" i="7"/>
  <c r="Q506" i="7"/>
  <c r="P506" i="7"/>
  <c r="L506" i="7"/>
  <c r="K506" i="7"/>
  <c r="BE502" i="7"/>
  <c r="BD502" i="7"/>
  <c r="AZ502" i="7"/>
  <c r="AY502" i="7"/>
  <c r="AF502" i="7"/>
  <c r="AE502" i="7"/>
  <c r="V502" i="7"/>
  <c r="U502" i="7"/>
  <c r="Q502" i="7"/>
  <c r="P502" i="7"/>
  <c r="BE501" i="7"/>
  <c r="AZ501" i="7"/>
  <c r="AY501" i="7"/>
  <c r="AF501" i="7"/>
  <c r="AE501" i="7"/>
  <c r="Q501" i="7"/>
  <c r="P501" i="7"/>
  <c r="BO500" i="7"/>
  <c r="BN500" i="7"/>
  <c r="BE500" i="7"/>
  <c r="BD500" i="7"/>
  <c r="AZ500" i="7"/>
  <c r="AY500" i="7"/>
  <c r="BJ498" i="7"/>
  <c r="BI498" i="7"/>
  <c r="BD498" i="7"/>
  <c r="AZ498" i="7"/>
  <c r="AY498" i="7"/>
  <c r="AK498" i="7"/>
  <c r="AJ498" i="7"/>
  <c r="AF498" i="7"/>
  <c r="AE498" i="7"/>
  <c r="V498" i="7"/>
  <c r="Q498" i="7"/>
  <c r="P498" i="7"/>
  <c r="BO497" i="7"/>
  <c r="BN497" i="7"/>
  <c r="BJ497" i="7"/>
  <c r="BI497" i="7"/>
  <c r="BE497" i="7"/>
  <c r="BD497" i="7"/>
  <c r="AZ497" i="7"/>
  <c r="AY497" i="7"/>
  <c r="AT497" i="7"/>
  <c r="AK497" i="7"/>
  <c r="AJ497" i="7"/>
  <c r="AF497" i="7"/>
  <c r="AE497" i="7"/>
  <c r="V497" i="7"/>
  <c r="U497" i="7"/>
  <c r="Q497" i="7"/>
  <c r="P497" i="7"/>
  <c r="L497" i="7"/>
  <c r="K497" i="7"/>
  <c r="BO495" i="7"/>
  <c r="BN495" i="7"/>
  <c r="BO493" i="7"/>
  <c r="BN493" i="7"/>
  <c r="BJ492" i="7"/>
  <c r="BI492" i="7"/>
  <c r="BE492" i="7"/>
  <c r="BD492" i="7"/>
  <c r="AZ492" i="7"/>
  <c r="AY492" i="7"/>
  <c r="AP492" i="7"/>
  <c r="AO492" i="7"/>
  <c r="AK492" i="7"/>
  <c r="AJ492" i="7"/>
  <c r="AF492" i="7"/>
  <c r="AE492" i="7"/>
  <c r="AA492" i="7"/>
  <c r="Z492" i="7"/>
  <c r="V492" i="7"/>
  <c r="U492" i="7"/>
  <c r="Q492" i="7"/>
  <c r="P492" i="7"/>
  <c r="L492" i="7"/>
  <c r="K492" i="7"/>
  <c r="G492" i="7"/>
  <c r="F492" i="7"/>
  <c r="BO491" i="7"/>
  <c r="BN491" i="7"/>
  <c r="BJ491" i="7"/>
  <c r="BI491" i="7"/>
  <c r="BO490" i="7"/>
  <c r="BN490" i="7"/>
  <c r="BJ490" i="7"/>
  <c r="BI490" i="7"/>
  <c r="AZ490" i="7"/>
  <c r="AY490" i="7"/>
  <c r="AU490" i="7"/>
  <c r="AT490" i="7"/>
  <c r="BE489" i="7"/>
  <c r="BD489" i="7"/>
  <c r="AZ489" i="7"/>
  <c r="AY489" i="7"/>
  <c r="AU489" i="7"/>
  <c r="AF489" i="7"/>
  <c r="AE489" i="7"/>
  <c r="AA489" i="7"/>
  <c r="Z489" i="7"/>
  <c r="V489" i="7"/>
  <c r="U489" i="7"/>
  <c r="Q489" i="7"/>
  <c r="P489" i="7"/>
  <c r="L489" i="7"/>
  <c r="K489" i="7"/>
  <c r="Q488" i="7"/>
  <c r="P488" i="7"/>
  <c r="K488" i="7"/>
  <c r="BE487" i="7"/>
  <c r="BD487" i="7"/>
  <c r="AZ487" i="7"/>
  <c r="AY487" i="7"/>
  <c r="V487" i="7"/>
  <c r="Q487" i="7"/>
  <c r="BO486" i="7"/>
  <c r="BN486" i="7"/>
  <c r="AJ486" i="7"/>
  <c r="AF486" i="7"/>
  <c r="AE486" i="7"/>
  <c r="V486" i="7"/>
  <c r="U486" i="7"/>
  <c r="Q486" i="7"/>
  <c r="BE485" i="7"/>
  <c r="BD485" i="7"/>
  <c r="AZ485" i="7"/>
  <c r="AY485" i="7"/>
  <c r="AF485" i="7"/>
  <c r="AE485" i="7"/>
  <c r="V485" i="7"/>
  <c r="U485" i="7"/>
  <c r="Q485" i="7"/>
  <c r="P485" i="7"/>
  <c r="BD484" i="7"/>
  <c r="AY484" i="7"/>
  <c r="BO482" i="7"/>
  <c r="BN482" i="7"/>
  <c r="AZ482" i="7"/>
  <c r="AY482" i="7"/>
  <c r="BO480" i="7"/>
  <c r="BN480" i="7"/>
  <c r="BE480" i="7"/>
  <c r="AZ480" i="7"/>
  <c r="AZ479" i="7"/>
  <c r="AY479" i="7"/>
  <c r="BE478" i="7"/>
  <c r="AZ478" i="7"/>
  <c r="AF478" i="7"/>
  <c r="AE478" i="7"/>
  <c r="V478" i="7"/>
  <c r="U478" i="7"/>
  <c r="Q478" i="7"/>
  <c r="P478" i="7"/>
  <c r="AZ477" i="7"/>
  <c r="AY477" i="7"/>
  <c r="AF477" i="7"/>
  <c r="AE477" i="7"/>
  <c r="V477" i="7"/>
  <c r="U477" i="7"/>
  <c r="Q477" i="7"/>
  <c r="P477" i="7"/>
  <c r="BE476" i="7"/>
  <c r="AZ476" i="7"/>
  <c r="AY476" i="7"/>
  <c r="AF476" i="7"/>
  <c r="AE476" i="7"/>
  <c r="V476" i="7"/>
  <c r="U476" i="7"/>
  <c r="Q476" i="7"/>
  <c r="P476" i="7"/>
  <c r="BO474" i="7"/>
  <c r="BN474" i="7"/>
  <c r="BE474" i="7"/>
  <c r="AZ474" i="7"/>
  <c r="AY474" i="7"/>
  <c r="AF473" i="7"/>
  <c r="AE473" i="7"/>
  <c r="V473" i="7"/>
  <c r="U473" i="7"/>
  <c r="Q473" i="7"/>
  <c r="P473" i="7"/>
  <c r="BD472" i="7"/>
  <c r="AY472" i="7"/>
  <c r="AF472" i="7"/>
  <c r="V472" i="7"/>
  <c r="U472" i="7"/>
  <c r="Q472" i="7"/>
  <c r="P472" i="7"/>
  <c r="BO470" i="7"/>
  <c r="BN470" i="7"/>
  <c r="BJ470" i="7"/>
  <c r="BI470" i="7"/>
  <c r="BE470" i="7"/>
  <c r="BD470" i="7"/>
  <c r="AZ470" i="7"/>
  <c r="AT469" i="7"/>
  <c r="L469" i="7"/>
  <c r="K469" i="7"/>
  <c r="BO466" i="7"/>
  <c r="BN466" i="7"/>
  <c r="BJ466" i="7"/>
  <c r="BI466" i="7"/>
  <c r="BE466" i="7"/>
  <c r="BD466" i="7"/>
  <c r="BO465" i="7"/>
  <c r="BN465" i="7"/>
  <c r="BJ465" i="7"/>
  <c r="BI465" i="7"/>
  <c r="BE465" i="7"/>
  <c r="BD465" i="7"/>
  <c r="AZ465" i="7"/>
  <c r="AY465" i="7"/>
  <c r="AP465" i="7"/>
  <c r="AO465" i="7"/>
  <c r="AK465" i="7"/>
  <c r="AJ465" i="7"/>
  <c r="AF465" i="7"/>
  <c r="AE465" i="7"/>
  <c r="AA465" i="7"/>
  <c r="Z465" i="7"/>
  <c r="V465" i="7"/>
  <c r="U465" i="7"/>
  <c r="Q465" i="7"/>
  <c r="P465" i="7"/>
  <c r="L465" i="7"/>
  <c r="K465" i="7"/>
  <c r="G465" i="7"/>
  <c r="F465" i="7"/>
  <c r="BO464" i="7"/>
  <c r="BN464" i="7"/>
  <c r="AZ464" i="7"/>
  <c r="AY464" i="7"/>
  <c r="BO463" i="7"/>
  <c r="BN463" i="7"/>
  <c r="BJ463" i="7"/>
  <c r="BI463" i="7"/>
  <c r="BO461" i="7"/>
  <c r="BE461" i="7"/>
  <c r="BD461" i="7"/>
  <c r="AK461" i="7"/>
  <c r="AJ461" i="7"/>
  <c r="AF461" i="7"/>
  <c r="G461" i="7"/>
  <c r="F461" i="7"/>
  <c r="Q459" i="7"/>
  <c r="P459" i="7"/>
  <c r="L459" i="7"/>
  <c r="K459" i="7"/>
  <c r="G459" i="7"/>
  <c r="F459" i="7"/>
  <c r="AZ458" i="7"/>
  <c r="AY458" i="7"/>
  <c r="BO457" i="7"/>
  <c r="BN457" i="7"/>
  <c r="BE457" i="7"/>
  <c r="BD457" i="7"/>
  <c r="BO453" i="7"/>
  <c r="BN453" i="7"/>
  <c r="BJ453" i="7"/>
  <c r="BI453" i="7"/>
  <c r="BE453" i="7"/>
  <c r="BD453" i="7"/>
  <c r="AZ453" i="7"/>
  <c r="AY453" i="7"/>
  <c r="AU453" i="7"/>
  <c r="AT453" i="7"/>
  <c r="AF453" i="7"/>
  <c r="AE453" i="7"/>
  <c r="BO452" i="7"/>
  <c r="BN452" i="7"/>
  <c r="BJ452" i="7"/>
  <c r="BI452" i="7"/>
  <c r="AZ452" i="7"/>
  <c r="AY452" i="7"/>
  <c r="BO449" i="7"/>
  <c r="BN449" i="7"/>
  <c r="BJ449" i="7"/>
  <c r="BI449" i="7"/>
  <c r="AZ449" i="7"/>
  <c r="AY449" i="7"/>
  <c r="BO447" i="7"/>
  <c r="BN447" i="7"/>
  <c r="BE447" i="7"/>
  <c r="BD447" i="7"/>
  <c r="AZ447" i="7"/>
  <c r="AY447" i="7"/>
  <c r="BJ444" i="7"/>
  <c r="BI444" i="7"/>
  <c r="AZ444" i="7"/>
  <c r="AY444" i="7"/>
  <c r="BO442" i="7"/>
  <c r="BN442" i="7"/>
  <c r="BJ442" i="7"/>
  <c r="BI442" i="7"/>
  <c r="BE442" i="7"/>
  <c r="AZ442" i="7"/>
  <c r="AY442" i="7"/>
  <c r="BO440" i="7"/>
  <c r="BN440" i="7"/>
  <c r="BE439" i="7"/>
  <c r="BD439" i="7"/>
  <c r="AZ439" i="7"/>
  <c r="AY439" i="7"/>
  <c r="BE437" i="7"/>
  <c r="BD437" i="7"/>
  <c r="BJ436" i="7"/>
  <c r="BI436" i="7"/>
  <c r="BO432" i="7"/>
  <c r="BN432" i="7"/>
  <c r="AU432" i="7"/>
  <c r="AT432" i="7"/>
  <c r="BO430" i="7"/>
  <c r="BN430" i="7"/>
  <c r="AZ430" i="7"/>
  <c r="AY430" i="7"/>
  <c r="AZ427" i="7"/>
  <c r="AY427" i="7"/>
  <c r="BO424" i="7"/>
  <c r="BN424" i="7"/>
  <c r="BE424" i="7"/>
  <c r="BD424" i="7"/>
  <c r="AZ424" i="7"/>
  <c r="AY424" i="7"/>
  <c r="BO418" i="7"/>
  <c r="BN418" i="7"/>
  <c r="BE418" i="7"/>
  <c r="BD418" i="7"/>
  <c r="BJ405" i="7"/>
  <c r="BI405" i="7"/>
  <c r="BO404" i="7"/>
  <c r="BN404" i="7"/>
  <c r="BJ401" i="7"/>
  <c r="BI401" i="7"/>
  <c r="BJ397" i="7"/>
  <c r="BI397" i="7"/>
  <c r="BJ394" i="7"/>
  <c r="BI394" i="7"/>
  <c r="BO392" i="7"/>
  <c r="BN392" i="7"/>
  <c r="BJ392" i="7"/>
  <c r="BI392" i="7"/>
  <c r="BE392" i="7"/>
  <c r="BD392" i="7"/>
  <c r="AZ392" i="7"/>
  <c r="AY392" i="7"/>
  <c r="BJ390" i="7"/>
  <c r="BI390" i="7"/>
  <c r="BJ389" i="7"/>
  <c r="BI389" i="7"/>
  <c r="BE388" i="7"/>
  <c r="BD388" i="7"/>
  <c r="AZ388" i="7"/>
  <c r="BJ381" i="7"/>
  <c r="BI381" i="7"/>
  <c r="BJ378" i="7"/>
  <c r="BI378" i="7"/>
  <c r="BE378" i="7"/>
  <c r="AZ378" i="7"/>
  <c r="BJ375" i="7"/>
  <c r="BI375" i="7"/>
  <c r="BJ371" i="7"/>
  <c r="BI371" i="7"/>
  <c r="BE369" i="7"/>
  <c r="AZ369" i="7"/>
  <c r="AY369" i="7"/>
  <c r="BJ367" i="7"/>
  <c r="BI367" i="7"/>
  <c r="BO365" i="7"/>
  <c r="BN365" i="7"/>
  <c r="BE365" i="7"/>
  <c r="AZ365" i="7"/>
  <c r="AY365" i="7"/>
  <c r="BJ364" i="7"/>
  <c r="BI364" i="7"/>
  <c r="BE363" i="7"/>
  <c r="BO362" i="7"/>
  <c r="BN362" i="7"/>
  <c r="BO361" i="7"/>
  <c r="BN361" i="7"/>
  <c r="BE361" i="7"/>
  <c r="AF361" i="7"/>
  <c r="BE356" i="7"/>
  <c r="BD356" i="7"/>
  <c r="BE344" i="7"/>
  <c r="BD344" i="7"/>
  <c r="BE329" i="7"/>
  <c r="BD329" i="7"/>
  <c r="BO323" i="7"/>
  <c r="BN323" i="7"/>
  <c r="BE323" i="7"/>
  <c r="BD323" i="7"/>
  <c r="AY323" i="7"/>
  <c r="BO313" i="7"/>
  <c r="BN313" i="7"/>
  <c r="BO308" i="7"/>
  <c r="BN308" i="7"/>
  <c r="BE308" i="7"/>
  <c r="BD308" i="7"/>
  <c r="BJ305" i="7"/>
  <c r="BI305" i="7"/>
  <c r="BJ302" i="7"/>
  <c r="BI302" i="7"/>
  <c r="BO301" i="7"/>
  <c r="BN301" i="7"/>
  <c r="BE301" i="7"/>
  <c r="BD301" i="7"/>
  <c r="AZ301" i="7"/>
  <c r="AY301" i="7"/>
  <c r="BJ299" i="7"/>
  <c r="BI299" i="7"/>
  <c r="BJ297" i="7"/>
  <c r="BI297" i="7"/>
  <c r="BE297" i="7"/>
  <c r="AZ297" i="7"/>
  <c r="AY297" i="7"/>
  <c r="BJ293" i="7"/>
  <c r="BI293" i="7"/>
  <c r="BO292" i="7"/>
  <c r="BN292" i="7"/>
  <c r="BJ292" i="7"/>
  <c r="BI292" i="7"/>
  <c r="BE292" i="7"/>
  <c r="BD292" i="7"/>
  <c r="AZ292" i="7"/>
  <c r="AY292" i="7"/>
  <c r="AF292" i="7"/>
  <c r="AE292" i="7"/>
  <c r="BJ291" i="7"/>
  <c r="BI291" i="7"/>
  <c r="BO290" i="7"/>
  <c r="BN290" i="7"/>
  <c r="BE290" i="7"/>
  <c r="BD290" i="7"/>
  <c r="BO288" i="7"/>
  <c r="BN288" i="7"/>
  <c r="BJ288" i="7"/>
  <c r="BI288" i="7"/>
  <c r="BE288" i="7"/>
  <c r="BD288" i="7"/>
  <c r="AZ288" i="7"/>
  <c r="AY288" i="7"/>
  <c r="BO287" i="7"/>
  <c r="BN287" i="7"/>
  <c r="BJ287" i="7"/>
  <c r="BI287" i="7"/>
  <c r="BN286" i="7"/>
  <c r="AZ285" i="7"/>
  <c r="AY285" i="7"/>
  <c r="BJ284" i="7"/>
  <c r="BI284" i="7"/>
  <c r="BJ283" i="7"/>
  <c r="BI283" i="7"/>
  <c r="BO281" i="7"/>
  <c r="BN281" i="7"/>
  <c r="BJ281" i="7"/>
  <c r="BI281" i="7"/>
  <c r="BE281" i="7"/>
  <c r="BD281" i="7"/>
  <c r="AZ281" i="7"/>
  <c r="AY281" i="7"/>
  <c r="BO280" i="7"/>
  <c r="BN280" i="7"/>
  <c r="BJ280" i="7"/>
  <c r="BI280" i="7"/>
  <c r="BE280" i="7"/>
  <c r="BD280" i="7"/>
  <c r="AZ280" i="7"/>
  <c r="AY280" i="7"/>
  <c r="BO279" i="7"/>
  <c r="BN279" i="7"/>
  <c r="BJ279" i="7"/>
  <c r="BI279" i="7"/>
  <c r="BE279" i="7"/>
  <c r="BD279" i="7"/>
  <c r="AZ279" i="7"/>
  <c r="AY279" i="7"/>
  <c r="BO278" i="7"/>
  <c r="BN278" i="7"/>
  <c r="BE278" i="7"/>
  <c r="BD278" i="7"/>
  <c r="BJ276" i="7"/>
  <c r="BI276" i="7"/>
  <c r="BO273" i="7"/>
  <c r="BN273" i="7"/>
  <c r="BE273" i="7"/>
  <c r="BD273" i="7"/>
  <c r="BO267" i="7"/>
  <c r="BN267" i="7"/>
  <c r="BJ267" i="7"/>
  <c r="BI267" i="7"/>
  <c r="BE267" i="7"/>
  <c r="BD267" i="7"/>
  <c r="AZ267" i="7"/>
  <c r="AY267" i="7"/>
  <c r="BO264" i="7"/>
  <c r="BN264" i="7"/>
  <c r="BJ264" i="7"/>
  <c r="BI264" i="7"/>
  <c r="BE264" i="7"/>
  <c r="BD264" i="7"/>
  <c r="AZ264" i="7"/>
  <c r="AY264" i="7"/>
  <c r="BO261" i="7"/>
  <c r="BN261" i="7"/>
  <c r="BJ261" i="7"/>
  <c r="BI261" i="7"/>
  <c r="BE261" i="7"/>
  <c r="BD261" i="7"/>
  <c r="BO260" i="7"/>
  <c r="BN260" i="7"/>
  <c r="BJ260" i="7"/>
  <c r="BI260" i="7"/>
  <c r="BO259" i="7"/>
  <c r="BN259" i="7"/>
  <c r="BE259" i="7"/>
  <c r="BD259" i="7"/>
  <c r="BE256" i="7"/>
  <c r="BO255" i="7"/>
  <c r="BN255" i="7"/>
  <c r="BJ255" i="7"/>
  <c r="BI255" i="7"/>
  <c r="BE255" i="7"/>
  <c r="BD255" i="7"/>
  <c r="BO254" i="7"/>
  <c r="BN254" i="7"/>
  <c r="AZ254" i="7"/>
  <c r="AY254" i="7"/>
  <c r="BO249" i="7"/>
  <c r="BN249" i="7"/>
  <c r="BJ249" i="7"/>
  <c r="BI249" i="7"/>
  <c r="BE249" i="7"/>
  <c r="BD249" i="7"/>
  <c r="AZ248" i="7"/>
  <c r="AY248" i="7"/>
  <c r="BO246" i="7"/>
  <c r="BN246" i="7"/>
  <c r="BJ246" i="7"/>
  <c r="BI246" i="7"/>
  <c r="AZ246" i="7"/>
  <c r="AY246" i="7"/>
  <c r="BO244" i="7"/>
  <c r="BN244" i="7"/>
  <c r="BJ244" i="7"/>
  <c r="BI244" i="7"/>
  <c r="BE244" i="7"/>
  <c r="BD244" i="7"/>
  <c r="BO243" i="7"/>
  <c r="BN243" i="7"/>
  <c r="AZ243" i="7"/>
  <c r="AY243" i="7"/>
  <c r="AZ232" i="7"/>
  <c r="AY232" i="7"/>
  <c r="BO231" i="7"/>
  <c r="BN231" i="7"/>
  <c r="BO228" i="7"/>
  <c r="BN228" i="7"/>
  <c r="BJ228" i="7"/>
  <c r="BI228" i="7"/>
  <c r="AZ228" i="7"/>
  <c r="AY228" i="7"/>
  <c r="BO227" i="7"/>
  <c r="BN227" i="7"/>
  <c r="BO224" i="7"/>
  <c r="BO220" i="7"/>
  <c r="BN220" i="7"/>
  <c r="AZ219" i="7"/>
  <c r="AY219" i="7"/>
  <c r="AZ218" i="7"/>
  <c r="AY218" i="7"/>
  <c r="BO217" i="7"/>
  <c r="BN217" i="7"/>
  <c r="AZ212" i="7"/>
  <c r="AY212" i="7"/>
  <c r="BO208" i="7"/>
  <c r="BN208" i="7"/>
  <c r="AZ208" i="7"/>
  <c r="AY208" i="7"/>
  <c r="BO207" i="7"/>
  <c r="BO206" i="7"/>
  <c r="BN206" i="7"/>
  <c r="BO203" i="7"/>
  <c r="BN203" i="7"/>
  <c r="BE203" i="7"/>
  <c r="BD203" i="7"/>
  <c r="AZ203" i="7"/>
  <c r="AY203" i="7"/>
  <c r="AF203" i="7"/>
  <c r="AE203" i="7"/>
  <c r="AZ202" i="7"/>
  <c r="AY202" i="7"/>
  <c r="BE201" i="7"/>
  <c r="BD201" i="7"/>
  <c r="AZ201" i="7"/>
  <c r="AY201" i="7"/>
  <c r="BO200" i="7"/>
  <c r="BN200" i="7"/>
  <c r="AZ200" i="7"/>
  <c r="AY200" i="7"/>
  <c r="BO193" i="7"/>
  <c r="BN193" i="7"/>
  <c r="AZ193" i="7"/>
  <c r="AY193" i="7"/>
  <c r="AZ188" i="7"/>
  <c r="AY188" i="7"/>
  <c r="BO185" i="7"/>
  <c r="BN185" i="7"/>
  <c r="BE185" i="7"/>
  <c r="BD185" i="7"/>
  <c r="AZ185" i="7"/>
  <c r="AY185" i="7"/>
  <c r="BO184" i="7"/>
  <c r="BN184" i="7"/>
  <c r="BE184" i="7"/>
  <c r="BD184" i="7"/>
  <c r="AZ184" i="7"/>
  <c r="AY184" i="7"/>
  <c r="BO176" i="7"/>
  <c r="BN176" i="7"/>
  <c r="AZ176" i="7"/>
  <c r="AY176" i="7"/>
  <c r="BO174" i="7"/>
  <c r="BN174" i="7"/>
  <c r="AZ174" i="7"/>
  <c r="AY174" i="7"/>
  <c r="BO170" i="7"/>
  <c r="BN170" i="7"/>
  <c r="BE170" i="7"/>
  <c r="BD170" i="7"/>
  <c r="AZ170" i="7"/>
  <c r="AY170" i="7"/>
  <c r="BO169" i="7"/>
  <c r="BN169" i="7"/>
  <c r="AZ169" i="7"/>
  <c r="AY169" i="7"/>
  <c r="BO167" i="7"/>
  <c r="BN167" i="7"/>
  <c r="BO166" i="7"/>
  <c r="BN166" i="7"/>
  <c r="BE166" i="7"/>
  <c r="BD166" i="7"/>
  <c r="AZ166" i="7"/>
  <c r="AY166" i="7"/>
  <c r="BO162" i="7"/>
  <c r="BN162" i="7"/>
  <c r="BJ162" i="7"/>
  <c r="BI162" i="7"/>
  <c r="BE162" i="7"/>
  <c r="BD162" i="7"/>
  <c r="AZ162" i="7"/>
  <c r="AY162" i="7"/>
  <c r="BO155" i="7"/>
  <c r="BN155" i="7"/>
  <c r="BE155" i="7"/>
  <c r="BD155" i="7"/>
  <c r="AZ155" i="7"/>
  <c r="AY155" i="7"/>
  <c r="BO154" i="7"/>
  <c r="BN154" i="7"/>
  <c r="BJ154" i="7"/>
  <c r="BI154" i="7"/>
  <c r="BE154" i="7"/>
  <c r="BD154" i="7"/>
  <c r="BO153" i="7"/>
  <c r="BN153" i="7"/>
  <c r="BJ153" i="7"/>
  <c r="BI153" i="7"/>
  <c r="BE153" i="7"/>
  <c r="BD153" i="7"/>
  <c r="BO152" i="7"/>
  <c r="BN152" i="7"/>
  <c r="BJ152" i="7"/>
  <c r="BI152" i="7"/>
  <c r="BE152" i="7"/>
  <c r="BD152" i="7"/>
  <c r="BO151" i="7"/>
  <c r="BN151" i="7"/>
  <c r="BJ151" i="7"/>
  <c r="BI151" i="7"/>
  <c r="BO150" i="7"/>
  <c r="BN150" i="7"/>
  <c r="BE150" i="7"/>
  <c r="BD150" i="7"/>
  <c r="BO148" i="7"/>
  <c r="BN148" i="7"/>
  <c r="BJ148" i="7"/>
  <c r="BI148" i="7"/>
  <c r="BE148" i="7"/>
  <c r="BD148" i="7"/>
  <c r="AZ148" i="7"/>
  <c r="AY148" i="7"/>
  <c r="AF148" i="7"/>
  <c r="BO146" i="7"/>
  <c r="BN146" i="7"/>
  <c r="BJ146" i="7"/>
  <c r="BI146" i="7"/>
  <c r="BE146" i="7"/>
  <c r="BD146" i="7"/>
  <c r="AZ144" i="7"/>
  <c r="AY144" i="7"/>
  <c r="BO143" i="7"/>
  <c r="BN143" i="7"/>
  <c r="BJ143" i="7"/>
  <c r="BI143" i="7"/>
  <c r="BE143" i="7"/>
  <c r="BD143" i="7"/>
  <c r="AZ143" i="7"/>
  <c r="AY143" i="7"/>
  <c r="BO142" i="7"/>
  <c r="BN142" i="7"/>
  <c r="BJ142" i="7"/>
  <c r="BI142" i="7"/>
  <c r="AZ142" i="7"/>
  <c r="AY142" i="7"/>
  <c r="BO141" i="7"/>
  <c r="BN141" i="7"/>
  <c r="AZ141" i="7"/>
  <c r="AY141" i="7"/>
  <c r="BE140" i="7"/>
  <c r="BD140" i="7"/>
  <c r="AZ140" i="7"/>
  <c r="AY140" i="7"/>
  <c r="BO139" i="7"/>
  <c r="BN139" i="7"/>
  <c r="BJ139" i="7"/>
  <c r="BI139" i="7"/>
  <c r="AZ139" i="7"/>
  <c r="AY139" i="7"/>
  <c r="BO138" i="7"/>
  <c r="BN138" i="7"/>
  <c r="BJ138" i="7"/>
  <c r="BI138" i="7"/>
  <c r="BE138" i="7"/>
  <c r="BD138" i="7"/>
  <c r="AZ138" i="7"/>
  <c r="AY138" i="7"/>
  <c r="BO137" i="7"/>
  <c r="BN137" i="7"/>
  <c r="AZ137" i="7"/>
  <c r="AY137" i="7"/>
  <c r="BO136" i="7"/>
  <c r="BN136" i="7"/>
  <c r="BJ136" i="7"/>
  <c r="BI136" i="7"/>
  <c r="BE136" i="7"/>
  <c r="BD136" i="7"/>
  <c r="BO135" i="7"/>
  <c r="BN135" i="7"/>
  <c r="BJ135" i="7"/>
  <c r="BI135" i="7"/>
  <c r="BE135" i="7"/>
  <c r="BD135" i="7"/>
  <c r="AZ135" i="7"/>
  <c r="AY135" i="7"/>
  <c r="BO131" i="7"/>
  <c r="BN131" i="7"/>
  <c r="BJ131" i="7"/>
  <c r="BI131" i="7"/>
  <c r="BE131" i="7"/>
  <c r="BD131" i="7"/>
  <c r="AZ131" i="7"/>
  <c r="AY131" i="7"/>
  <c r="BO130" i="7"/>
  <c r="BN130" i="7"/>
  <c r="BJ130" i="7"/>
  <c r="BI130" i="7"/>
  <c r="BE130" i="7"/>
  <c r="BD130" i="7"/>
  <c r="BO129" i="7"/>
  <c r="BN129" i="7"/>
  <c r="BJ129" i="7"/>
  <c r="BI129" i="7"/>
  <c r="AZ129" i="7"/>
  <c r="AY129" i="7"/>
  <c r="BE127" i="7"/>
  <c r="BD127" i="7"/>
  <c r="BO126" i="7"/>
  <c r="BN126" i="7"/>
  <c r="AZ126" i="7"/>
  <c r="AY126" i="7"/>
  <c r="BO125" i="7"/>
  <c r="BN125" i="7"/>
  <c r="BE125" i="7"/>
  <c r="BD125" i="7"/>
  <c r="AZ125" i="7"/>
  <c r="AY125" i="7"/>
  <c r="BJ123" i="7"/>
  <c r="BI123" i="7"/>
  <c r="BO122" i="7"/>
  <c r="BN122" i="7"/>
  <c r="BE122" i="7"/>
  <c r="BD122" i="7"/>
  <c r="AZ122" i="7"/>
  <c r="AY122" i="7"/>
  <c r="BO119" i="7"/>
  <c r="BN119" i="7"/>
  <c r="AZ119" i="7"/>
  <c r="AY119" i="7"/>
  <c r="BO118" i="7"/>
  <c r="BN118" i="7"/>
  <c r="AZ118" i="7"/>
  <c r="AY118" i="7"/>
  <c r="BJ117" i="7"/>
  <c r="BI117" i="7"/>
  <c r="BO115" i="7"/>
  <c r="BN115" i="7"/>
  <c r="BJ115" i="7"/>
  <c r="BI115" i="7"/>
  <c r="BE115" i="7"/>
  <c r="BD115" i="7"/>
  <c r="AZ115" i="7"/>
  <c r="AY115" i="7"/>
  <c r="BO113" i="7"/>
  <c r="BN113" i="7"/>
  <c r="BJ113" i="7"/>
  <c r="BI113" i="7"/>
  <c r="BD113" i="7"/>
  <c r="AZ113" i="7"/>
  <c r="AY113" i="7"/>
  <c r="BO112" i="7"/>
  <c r="BN112" i="7"/>
  <c r="AZ112" i="7"/>
  <c r="AY112" i="7"/>
  <c r="AF112" i="7"/>
  <c r="AE112" i="7"/>
  <c r="BO110" i="7"/>
  <c r="BN110" i="7"/>
  <c r="BE110" i="7"/>
  <c r="BD110" i="7"/>
  <c r="BO109" i="7"/>
  <c r="BN109" i="7"/>
  <c r="BE109" i="7"/>
  <c r="BD109" i="7"/>
  <c r="AZ109" i="7"/>
  <c r="AY109" i="7"/>
  <c r="BO108" i="7"/>
  <c r="BN108" i="7"/>
  <c r="AZ108" i="7"/>
  <c r="AY108" i="7"/>
  <c r="BO106" i="7"/>
  <c r="BN106" i="7"/>
  <c r="BE106" i="7"/>
  <c r="BD106" i="7"/>
  <c r="AZ106" i="7"/>
  <c r="AY106" i="7"/>
  <c r="BO105" i="7"/>
  <c r="BN105" i="7"/>
  <c r="BE105" i="7"/>
  <c r="BD105" i="7"/>
  <c r="BO104" i="7"/>
  <c r="BN104" i="7"/>
  <c r="AZ104" i="7"/>
  <c r="AY104" i="7"/>
  <c r="BO103" i="7"/>
  <c r="BN103" i="7"/>
  <c r="BJ103" i="7"/>
  <c r="BI103" i="7"/>
  <c r="BE103" i="7"/>
  <c r="BD103" i="7"/>
  <c r="AZ103" i="7"/>
  <c r="AY103" i="7"/>
  <c r="BE102" i="7"/>
  <c r="BD102" i="7"/>
  <c r="AZ102" i="7"/>
  <c r="AY102" i="7"/>
  <c r="BO101" i="7"/>
  <c r="BN101" i="7"/>
  <c r="AZ101" i="7"/>
  <c r="AY101" i="7"/>
  <c r="BN99" i="7"/>
  <c r="BJ99" i="7"/>
  <c r="BI99" i="7"/>
  <c r="BE99" i="7"/>
  <c r="BD99" i="7"/>
  <c r="BO98" i="7"/>
  <c r="BN98" i="7"/>
  <c r="BJ98" i="7"/>
  <c r="BI98" i="7"/>
  <c r="BE98" i="7"/>
  <c r="BD98" i="7"/>
  <c r="AZ98" i="7"/>
  <c r="AY98" i="7"/>
  <c r="BO96" i="7"/>
  <c r="BN96" i="7"/>
  <c r="BJ96" i="7"/>
  <c r="BI96" i="7"/>
  <c r="BE96" i="7"/>
  <c r="BD96" i="7"/>
  <c r="AZ96" i="7"/>
  <c r="AY96" i="7"/>
  <c r="BJ95" i="7"/>
  <c r="BI95" i="7"/>
  <c r="AZ95" i="7"/>
  <c r="AY95" i="7"/>
  <c r="BO94" i="7"/>
  <c r="BN94" i="7"/>
  <c r="AZ94" i="7"/>
  <c r="AY94" i="7"/>
  <c r="BO92" i="7"/>
  <c r="BN92" i="7"/>
  <c r="BJ92" i="7"/>
  <c r="BI92" i="7"/>
  <c r="BE92" i="7"/>
  <c r="BD92" i="7"/>
  <c r="AZ92" i="7"/>
  <c r="AY92" i="7"/>
  <c r="BO90" i="7"/>
  <c r="BN90" i="7"/>
  <c r="AZ90" i="7"/>
  <c r="AY90" i="7"/>
  <c r="BO85" i="7"/>
  <c r="BN85" i="7"/>
  <c r="BO84" i="7"/>
  <c r="BN84" i="7"/>
  <c r="BJ84" i="7"/>
  <c r="BI84" i="7"/>
  <c r="AZ84" i="7"/>
  <c r="AY84" i="7"/>
  <c r="BE81" i="7"/>
  <c r="BD81" i="7"/>
  <c r="BO80" i="7"/>
  <c r="BN80" i="7"/>
  <c r="AZ80" i="7"/>
  <c r="AY80" i="7"/>
  <c r="AY79" i="7"/>
  <c r="BJ78" i="7"/>
  <c r="BI78" i="7"/>
  <c r="AZ78" i="7"/>
  <c r="AY78" i="7"/>
  <c r="BJ73" i="7"/>
  <c r="BI73" i="7"/>
  <c r="BO72" i="7"/>
  <c r="BN72" i="7"/>
  <c r="BO69" i="7"/>
  <c r="BN69" i="7"/>
  <c r="AZ69" i="7"/>
  <c r="AY69" i="7"/>
  <c r="BO67" i="7"/>
  <c r="BN67" i="7"/>
  <c r="BJ67" i="7"/>
  <c r="BI67" i="7"/>
  <c r="BE67" i="7"/>
  <c r="BD67" i="7"/>
  <c r="AZ67" i="7"/>
  <c r="AY67" i="7"/>
  <c r="AZ66" i="7"/>
  <c r="AY66" i="7"/>
  <c r="BO64" i="7"/>
  <c r="BN64" i="7"/>
  <c r="BJ64" i="7"/>
  <c r="BI64" i="7"/>
  <c r="BE64" i="7"/>
  <c r="BD64" i="7"/>
  <c r="AZ64" i="7"/>
  <c r="AY64" i="7"/>
  <c r="BO63" i="7"/>
  <c r="BN63" i="7"/>
  <c r="BE63" i="7"/>
  <c r="BD63" i="7"/>
  <c r="AZ63" i="7"/>
  <c r="AY63" i="7"/>
  <c r="BO62" i="7"/>
  <c r="BN62" i="7"/>
  <c r="BE62" i="7"/>
  <c r="BD62" i="7"/>
  <c r="AZ62" i="7"/>
  <c r="AY62" i="7"/>
  <c r="AZ60" i="7"/>
  <c r="AY60" i="7"/>
  <c r="AZ59" i="7"/>
  <c r="AY59" i="7"/>
  <c r="BO58" i="7"/>
  <c r="BN58" i="7"/>
  <c r="AZ57" i="7"/>
  <c r="AY57" i="7"/>
  <c r="BO56" i="7"/>
  <c r="BN56" i="7"/>
  <c r="BE56" i="7"/>
  <c r="BD56" i="7"/>
  <c r="AZ56" i="7"/>
  <c r="AY56" i="7"/>
  <c r="BO52" i="7"/>
  <c r="BN52" i="7"/>
  <c r="BJ52" i="7"/>
  <c r="BI52" i="7"/>
  <c r="BE52" i="7"/>
  <c r="BD52" i="7"/>
  <c r="AZ52" i="7"/>
  <c r="AY52" i="7"/>
  <c r="BE51" i="7"/>
  <c r="AZ51" i="7"/>
  <c r="AY51" i="7"/>
  <c r="BO50" i="7"/>
  <c r="BN50" i="7"/>
  <c r="BE50" i="7"/>
  <c r="BD50" i="7"/>
  <c r="AZ50" i="7"/>
  <c r="AY50" i="7"/>
  <c r="BO48" i="7"/>
  <c r="BN48" i="7"/>
  <c r="BJ48" i="7"/>
  <c r="BI48" i="7"/>
  <c r="AZ48" i="7"/>
  <c r="AY48" i="7"/>
  <c r="AU48" i="7"/>
  <c r="AT48" i="7"/>
  <c r="BO47" i="7"/>
  <c r="BN47" i="7"/>
  <c r="BJ47" i="7"/>
  <c r="BI47" i="7"/>
  <c r="AZ47" i="7"/>
  <c r="AY47" i="7"/>
  <c r="AE47" i="7"/>
  <c r="BO45" i="7"/>
  <c r="BN45" i="7"/>
  <c r="BO43" i="7"/>
  <c r="BN43" i="7"/>
  <c r="BO42" i="7"/>
  <c r="BN42" i="7"/>
  <c r="BJ42" i="7"/>
  <c r="BI42" i="7"/>
  <c r="BE42" i="7"/>
  <c r="AZ42" i="7"/>
  <c r="AU42" i="7"/>
  <c r="AT42" i="7"/>
  <c r="BO41" i="7"/>
  <c r="BN41" i="7"/>
  <c r="AZ41" i="7"/>
  <c r="AY41" i="7"/>
  <c r="AU41" i="7"/>
  <c r="AT41" i="7"/>
  <c r="BO40" i="7"/>
  <c r="BN40" i="7"/>
  <c r="BJ40" i="7"/>
  <c r="BI40" i="7"/>
  <c r="AZ40" i="7"/>
  <c r="AY40" i="7"/>
  <c r="AU40" i="7"/>
  <c r="AT40" i="7"/>
  <c r="BO39" i="7"/>
  <c r="BN39" i="7"/>
  <c r="BO37" i="7"/>
  <c r="BN37" i="7"/>
  <c r="BJ37" i="7"/>
  <c r="BI37" i="7"/>
  <c r="AZ37" i="7"/>
  <c r="AY37" i="7"/>
  <c r="BO36" i="7"/>
  <c r="BN36" i="7"/>
  <c r="AZ36" i="7"/>
  <c r="AY36" i="7"/>
  <c r="BO35" i="7"/>
  <c r="BN35" i="7"/>
  <c r="BE35" i="7"/>
  <c r="BD35" i="7"/>
  <c r="AZ35" i="7"/>
  <c r="AY35" i="7"/>
  <c r="BE34" i="7"/>
  <c r="AZ34" i="7"/>
  <c r="AY34" i="7"/>
  <c r="BO32" i="7"/>
  <c r="BN32" i="7"/>
  <c r="AZ32" i="7"/>
  <c r="AY32" i="7"/>
  <c r="BO30" i="7"/>
  <c r="BN30" i="7"/>
  <c r="BE30" i="7"/>
  <c r="AZ30" i="7"/>
  <c r="AZ29" i="7"/>
  <c r="AY29" i="7"/>
  <c r="AZ28" i="7"/>
  <c r="AY28" i="7"/>
  <c r="BO27" i="7"/>
  <c r="BN27" i="7"/>
  <c r="AZ27" i="7"/>
  <c r="AY27" i="7"/>
  <c r="BO26" i="7"/>
  <c r="BN26" i="7"/>
  <c r="BE26" i="7"/>
  <c r="AZ26" i="7"/>
  <c r="AY26" i="7"/>
  <c r="BO24" i="7"/>
  <c r="BN24" i="7"/>
  <c r="BE24" i="7"/>
  <c r="BD24" i="7"/>
  <c r="AZ24" i="7"/>
  <c r="AY24" i="7"/>
  <c r="BO22" i="7"/>
  <c r="BN22" i="7"/>
  <c r="BJ22" i="7"/>
  <c r="BI22" i="7"/>
  <c r="AZ22" i="7"/>
  <c r="AY22" i="7"/>
  <c r="BO20" i="7"/>
  <c r="BN20" i="7"/>
  <c r="BJ20" i="7"/>
  <c r="BI20" i="7"/>
  <c r="BE20" i="7"/>
  <c r="BD20" i="7"/>
  <c r="AZ20" i="7"/>
  <c r="BO19" i="7"/>
  <c r="BN19" i="7"/>
  <c r="BO16" i="7"/>
  <c r="BN16" i="7"/>
  <c r="BJ16" i="7"/>
  <c r="BI16" i="7"/>
  <c r="BE16" i="7"/>
  <c r="BD16" i="7"/>
  <c r="BO15" i="7"/>
  <c r="BN15" i="7"/>
  <c r="BJ15" i="7"/>
  <c r="BI15" i="7"/>
  <c r="BE15" i="7"/>
  <c r="BD15" i="7"/>
  <c r="AZ15" i="7"/>
  <c r="AY15" i="7"/>
  <c r="BO14" i="7"/>
  <c r="BN14" i="7"/>
  <c r="AZ14" i="7"/>
  <c r="AY14" i="7"/>
  <c r="BO13" i="7"/>
  <c r="BN13" i="7"/>
  <c r="BJ13" i="7"/>
  <c r="BI13" i="7"/>
  <c r="AZ8" i="7"/>
  <c r="AY8" i="7"/>
  <c r="BO7" i="7"/>
  <c r="BN7" i="7"/>
  <c r="BE7" i="7"/>
  <c r="AY7" i="7"/>
  <c r="L129" i="6"/>
  <c r="K129" i="6"/>
  <c r="BE339" i="6"/>
  <c r="BD339" i="6"/>
  <c r="AK339" i="6"/>
  <c r="AJ339" i="6"/>
  <c r="AF339" i="6"/>
  <c r="AE339" i="6"/>
  <c r="V339" i="6"/>
  <c r="U339" i="6"/>
  <c r="G339" i="6"/>
  <c r="F339" i="6"/>
  <c r="BE337" i="6"/>
  <c r="BD337" i="6"/>
  <c r="AK337" i="6"/>
  <c r="AJ337" i="6"/>
  <c r="AE337" i="6"/>
  <c r="BE334" i="6"/>
  <c r="BD334" i="6"/>
  <c r="AF334" i="6"/>
  <c r="AE334" i="6"/>
  <c r="G334" i="6"/>
  <c r="F334" i="6"/>
  <c r="BE333" i="6"/>
  <c r="BD333" i="6"/>
  <c r="BE326" i="6"/>
  <c r="BD326" i="6"/>
  <c r="AF326" i="6"/>
  <c r="AE326" i="6"/>
  <c r="V326" i="6"/>
  <c r="U326" i="6"/>
  <c r="G326" i="6"/>
  <c r="F326" i="6"/>
  <c r="BE325" i="6"/>
  <c r="BD325" i="6"/>
  <c r="BE324" i="6"/>
  <c r="BD324" i="6"/>
  <c r="G324" i="6"/>
  <c r="F324" i="6"/>
  <c r="BE322" i="6"/>
  <c r="BE317" i="6"/>
  <c r="BD317" i="6"/>
  <c r="V317" i="6"/>
  <c r="G317" i="6"/>
  <c r="BD316" i="6"/>
  <c r="BE315" i="6"/>
  <c r="BD315" i="6"/>
  <c r="BE311" i="6"/>
  <c r="BD311" i="6"/>
  <c r="BE308" i="6"/>
  <c r="BD308" i="6"/>
  <c r="AF308" i="6"/>
  <c r="AE308" i="6"/>
  <c r="G308" i="6"/>
  <c r="F308" i="6"/>
  <c r="BE298" i="6"/>
  <c r="BD298" i="6"/>
  <c r="AF298" i="6"/>
  <c r="AE298" i="6"/>
  <c r="V298" i="6"/>
  <c r="U298" i="6"/>
  <c r="G298" i="6"/>
  <c r="F298" i="6"/>
  <c r="BE295" i="6"/>
  <c r="BE292" i="6"/>
  <c r="BD292" i="6"/>
  <c r="BE289" i="6"/>
  <c r="BD289" i="6"/>
  <c r="BE288" i="6"/>
  <c r="BD288" i="6"/>
  <c r="V288" i="6"/>
  <c r="G288" i="6"/>
  <c r="BE287" i="6"/>
  <c r="BD287" i="6"/>
  <c r="AK287" i="6"/>
  <c r="AJ287" i="6"/>
  <c r="V287" i="6"/>
  <c r="U287" i="6"/>
  <c r="BE285" i="6"/>
  <c r="BE284" i="6"/>
  <c r="BD284" i="6"/>
  <c r="V284" i="6"/>
  <c r="U284" i="6"/>
  <c r="BE281" i="6"/>
  <c r="BD281" i="6"/>
  <c r="BE276" i="6"/>
  <c r="BD276" i="6"/>
  <c r="BE275" i="6"/>
  <c r="BD275" i="6"/>
  <c r="AF275" i="6"/>
  <c r="AE275" i="6"/>
  <c r="G275" i="6"/>
  <c r="F275" i="6"/>
  <c r="BE274" i="6"/>
  <c r="BD274" i="6"/>
  <c r="BE268" i="6"/>
  <c r="BD268" i="6"/>
  <c r="BE264" i="6"/>
  <c r="BE260" i="6"/>
  <c r="BD260" i="6"/>
  <c r="V260" i="6"/>
  <c r="G260" i="6"/>
  <c r="BE248" i="6"/>
  <c r="BD248" i="6"/>
  <c r="AE248" i="6"/>
  <c r="BE241" i="6"/>
  <c r="BD241" i="6"/>
  <c r="U241" i="6"/>
  <c r="BE240" i="6"/>
  <c r="BD240" i="6"/>
  <c r="U240" i="6"/>
  <c r="G240" i="6"/>
  <c r="F240" i="6"/>
  <c r="BE238" i="6"/>
  <c r="BD238" i="6"/>
  <c r="BE231" i="6"/>
  <c r="BD231" i="6"/>
  <c r="AF231" i="6"/>
  <c r="AE231" i="6"/>
  <c r="V231" i="6"/>
  <c r="U231" i="6"/>
  <c r="G231" i="6"/>
  <c r="F231" i="6"/>
  <c r="BE230" i="6"/>
  <c r="BD230" i="6"/>
  <c r="BJ227" i="6"/>
  <c r="BI227" i="6"/>
  <c r="BE227" i="6"/>
  <c r="BD227" i="6"/>
  <c r="AZ227" i="6"/>
  <c r="AY227" i="6"/>
  <c r="AU227" i="6"/>
  <c r="AT227" i="6"/>
  <c r="AP227" i="6"/>
  <c r="AO227" i="6"/>
  <c r="AK227" i="6"/>
  <c r="AJ227" i="6"/>
  <c r="AF227" i="6"/>
  <c r="AE227" i="6"/>
  <c r="AA227" i="6"/>
  <c r="Z227" i="6"/>
  <c r="V227" i="6"/>
  <c r="U227" i="6"/>
  <c r="Q227" i="6"/>
  <c r="P227" i="6"/>
  <c r="L227" i="6"/>
  <c r="K227" i="6"/>
  <c r="G227" i="6"/>
  <c r="F227" i="6"/>
  <c r="AZ226" i="6"/>
  <c r="AY226" i="6"/>
  <c r="AU226" i="6"/>
  <c r="AT226" i="6"/>
  <c r="AP226" i="6"/>
  <c r="AO226" i="6"/>
  <c r="AK226" i="6"/>
  <c r="AJ226" i="6"/>
  <c r="AA226" i="6"/>
  <c r="Z226" i="6"/>
  <c r="V226" i="6"/>
  <c r="U226" i="6"/>
  <c r="Q226" i="6"/>
  <c r="P226" i="6"/>
  <c r="L226" i="6"/>
  <c r="K226" i="6"/>
  <c r="G226" i="6"/>
  <c r="F226" i="6"/>
  <c r="BE225" i="6"/>
  <c r="BD225" i="6"/>
  <c r="AY225" i="6"/>
  <c r="AU225" i="6"/>
  <c r="AT225" i="6"/>
  <c r="AP225" i="6"/>
  <c r="AO225" i="6"/>
  <c r="AK225" i="6"/>
  <c r="AJ225" i="6"/>
  <c r="AF225" i="6"/>
  <c r="AE225" i="6"/>
  <c r="AA225" i="6"/>
  <c r="Z225" i="6"/>
  <c r="V225" i="6"/>
  <c r="U225" i="6"/>
  <c r="Q225" i="6"/>
  <c r="P225" i="6"/>
  <c r="L225" i="6"/>
  <c r="K225" i="6"/>
  <c r="G225" i="6"/>
  <c r="F225" i="6"/>
  <c r="AU223" i="6"/>
  <c r="AT223" i="6"/>
  <c r="AP223" i="6"/>
  <c r="AO223" i="6"/>
  <c r="AK223" i="6"/>
  <c r="AJ223" i="6"/>
  <c r="AA223" i="6"/>
  <c r="Z223" i="6"/>
  <c r="V223" i="6"/>
  <c r="U223" i="6"/>
  <c r="Q223" i="6"/>
  <c r="P223" i="6"/>
  <c r="L223" i="6"/>
  <c r="K223" i="6"/>
  <c r="G223" i="6"/>
  <c r="F223" i="6"/>
  <c r="BE222" i="6"/>
  <c r="BD222" i="6"/>
  <c r="AP222" i="6"/>
  <c r="AO222" i="6"/>
  <c r="AK222" i="6"/>
  <c r="AJ222" i="6"/>
  <c r="AA222" i="6"/>
  <c r="Z222" i="6"/>
  <c r="V222" i="6"/>
  <c r="U222" i="6"/>
  <c r="Q222" i="6"/>
  <c r="P222" i="6"/>
  <c r="L222" i="6"/>
  <c r="K222" i="6"/>
  <c r="G222" i="6"/>
  <c r="F222" i="6"/>
  <c r="BE221" i="6"/>
  <c r="BD221" i="6"/>
  <c r="BJ220" i="6"/>
  <c r="BI220" i="6"/>
  <c r="AP220" i="6"/>
  <c r="AO220" i="6"/>
  <c r="AK220" i="6"/>
  <c r="AJ220" i="6"/>
  <c r="AF220" i="6"/>
  <c r="AE220" i="6"/>
  <c r="AA220" i="6"/>
  <c r="Z220" i="6"/>
  <c r="V220" i="6"/>
  <c r="Q220" i="6"/>
  <c r="P220" i="6"/>
  <c r="L220" i="6"/>
  <c r="K220" i="6"/>
  <c r="G220" i="6"/>
  <c r="F220" i="6"/>
  <c r="AZ218" i="6"/>
  <c r="AY218" i="6"/>
  <c r="AP218" i="6"/>
  <c r="AO218" i="6"/>
  <c r="AK218" i="6"/>
  <c r="AJ218" i="6"/>
  <c r="V218" i="6"/>
  <c r="U218" i="6"/>
  <c r="Q218" i="6"/>
  <c r="P218" i="6"/>
  <c r="L218" i="6"/>
  <c r="K218" i="6"/>
  <c r="G218" i="6"/>
  <c r="F218" i="6"/>
  <c r="AP215" i="6"/>
  <c r="AO215" i="6"/>
  <c r="AK215" i="6"/>
  <c r="AJ215" i="6"/>
  <c r="AA215" i="6"/>
  <c r="Z215" i="6"/>
  <c r="V215" i="6"/>
  <c r="U215" i="6"/>
  <c r="Q215" i="6"/>
  <c r="P215" i="6"/>
  <c r="L215" i="6"/>
  <c r="K215" i="6"/>
  <c r="G215" i="6"/>
  <c r="F215" i="6"/>
  <c r="BE214" i="6"/>
  <c r="BD214" i="6"/>
  <c r="AU214" i="6"/>
  <c r="AT214" i="6"/>
  <c r="AP214" i="6"/>
  <c r="AO214" i="6"/>
  <c r="AK214" i="6"/>
  <c r="AJ214" i="6"/>
  <c r="AF214" i="6"/>
  <c r="AE214" i="6"/>
  <c r="AA214" i="6"/>
  <c r="Z214" i="6"/>
  <c r="V214" i="6"/>
  <c r="U214" i="6"/>
  <c r="Q214" i="6"/>
  <c r="P214" i="6"/>
  <c r="L214" i="6"/>
  <c r="K214" i="6"/>
  <c r="G214" i="6"/>
  <c r="F214" i="6"/>
  <c r="BE213" i="6"/>
  <c r="BD213" i="6"/>
  <c r="BE212" i="6"/>
  <c r="BD212" i="6"/>
  <c r="AZ212" i="6"/>
  <c r="AY212" i="6"/>
  <c r="AU212" i="6"/>
  <c r="AT212" i="6"/>
  <c r="AP212" i="6"/>
  <c r="AO212" i="6"/>
  <c r="AK212" i="6"/>
  <c r="AJ212" i="6"/>
  <c r="AF212" i="6"/>
  <c r="AE212" i="6"/>
  <c r="AA212" i="6"/>
  <c r="Z212" i="6"/>
  <c r="V212" i="6"/>
  <c r="U212" i="6"/>
  <c r="Q212" i="6"/>
  <c r="P212" i="6"/>
  <c r="L212" i="6"/>
  <c r="K212" i="6"/>
  <c r="G212" i="6"/>
  <c r="F212" i="6"/>
  <c r="AU211" i="6"/>
  <c r="AT211" i="6"/>
  <c r="AP211" i="6"/>
  <c r="AO211" i="6"/>
  <c r="AK211" i="6"/>
  <c r="AJ211" i="6"/>
  <c r="AF211" i="6"/>
  <c r="AE211" i="6"/>
  <c r="Q211" i="6"/>
  <c r="P211" i="6"/>
  <c r="L211" i="6"/>
  <c r="K211" i="6"/>
  <c r="G211" i="6"/>
  <c r="F211" i="6"/>
  <c r="BD210" i="6"/>
  <c r="AU210" i="6"/>
  <c r="AT210" i="6"/>
  <c r="AP210" i="6"/>
  <c r="AO210" i="6"/>
  <c r="AK210" i="6"/>
  <c r="AJ210" i="6"/>
  <c r="AF210" i="6"/>
  <c r="AE210" i="6"/>
  <c r="AA210" i="6"/>
  <c r="Z210" i="6"/>
  <c r="V210" i="6"/>
  <c r="U210" i="6"/>
  <c r="Q210" i="6"/>
  <c r="P210" i="6"/>
  <c r="L210" i="6"/>
  <c r="K210" i="6"/>
  <c r="G210" i="6"/>
  <c r="F210" i="6"/>
  <c r="AP208" i="6"/>
  <c r="AO208" i="6"/>
  <c r="AK208" i="6"/>
  <c r="AJ208" i="6"/>
  <c r="AA208" i="6"/>
  <c r="Z208" i="6"/>
  <c r="Q208" i="6"/>
  <c r="P208" i="6"/>
  <c r="L208" i="6"/>
  <c r="K208" i="6"/>
  <c r="G208" i="6"/>
  <c r="F208" i="6"/>
  <c r="BJ205" i="6"/>
  <c r="BI205" i="6"/>
  <c r="BE205" i="6"/>
  <c r="BD205" i="6"/>
  <c r="AZ205" i="6"/>
  <c r="AU205" i="6"/>
  <c r="AT205" i="6"/>
  <c r="AP205" i="6"/>
  <c r="AO205" i="6"/>
  <c r="AK205" i="6"/>
  <c r="AJ205" i="6"/>
  <c r="AA205" i="6"/>
  <c r="Z205" i="6"/>
  <c r="V205" i="6"/>
  <c r="U205" i="6"/>
  <c r="Q205" i="6"/>
  <c r="P205" i="6"/>
  <c r="L205" i="6"/>
  <c r="K205" i="6"/>
  <c r="G205" i="6"/>
  <c r="F205" i="6"/>
  <c r="BE204" i="6"/>
  <c r="BD204" i="6"/>
  <c r="AP204" i="6"/>
  <c r="AO204" i="6"/>
  <c r="AK204" i="6"/>
  <c r="AJ204" i="6"/>
  <c r="V204" i="6"/>
  <c r="U204" i="6"/>
  <c r="Q204" i="6"/>
  <c r="P204" i="6"/>
  <c r="L204" i="6"/>
  <c r="K204" i="6"/>
  <c r="G204" i="6"/>
  <c r="BE203" i="6"/>
  <c r="BD203" i="6"/>
  <c r="AU203" i="6"/>
  <c r="AT203" i="6"/>
  <c r="AP203" i="6"/>
  <c r="AO203" i="6"/>
  <c r="AK203" i="6"/>
  <c r="AJ203" i="6"/>
  <c r="AA203" i="6"/>
  <c r="Z203" i="6"/>
  <c r="V203" i="6"/>
  <c r="U203" i="6"/>
  <c r="Q203" i="6"/>
  <c r="P203" i="6"/>
  <c r="L203" i="6"/>
  <c r="K203" i="6"/>
  <c r="G203" i="6"/>
  <c r="F203" i="6"/>
  <c r="BD202" i="6"/>
  <c r="AZ202" i="6"/>
  <c r="AY202" i="6"/>
  <c r="AU202" i="6"/>
  <c r="AT202" i="6"/>
  <c r="AP202" i="6"/>
  <c r="AO202" i="6"/>
  <c r="AK202" i="6"/>
  <c r="AJ202" i="6"/>
  <c r="AF202" i="6"/>
  <c r="AE202" i="6"/>
  <c r="AA202" i="6"/>
  <c r="Z202" i="6"/>
  <c r="V202" i="6"/>
  <c r="U202" i="6"/>
  <c r="Q202" i="6"/>
  <c r="P202" i="6"/>
  <c r="L202" i="6"/>
  <c r="K202" i="6"/>
  <c r="G202" i="6"/>
  <c r="F202" i="6"/>
  <c r="AU200" i="6"/>
  <c r="AT200" i="6"/>
  <c r="AP200" i="6"/>
  <c r="AO200" i="6"/>
  <c r="AK200" i="6"/>
  <c r="AJ200" i="6"/>
  <c r="AA200" i="6"/>
  <c r="Z200" i="6"/>
  <c r="V200" i="6"/>
  <c r="U200" i="6"/>
  <c r="Q200" i="6"/>
  <c r="P200" i="6"/>
  <c r="L200" i="6"/>
  <c r="K200" i="6"/>
  <c r="G200" i="6"/>
  <c r="F200" i="6"/>
  <c r="BE199" i="6"/>
  <c r="BD199" i="6"/>
  <c r="AZ199" i="6"/>
  <c r="AY199" i="6"/>
  <c r="AU199" i="6"/>
  <c r="AT199" i="6"/>
  <c r="AP199" i="6"/>
  <c r="AO199" i="6"/>
  <c r="AK199" i="6"/>
  <c r="AJ199" i="6"/>
  <c r="AA199" i="6"/>
  <c r="Z199" i="6"/>
  <c r="V199" i="6"/>
  <c r="U199" i="6"/>
  <c r="Q199" i="6"/>
  <c r="P199" i="6"/>
  <c r="L199" i="6"/>
  <c r="K199" i="6"/>
  <c r="G199" i="6"/>
  <c r="F199" i="6"/>
  <c r="AU198" i="6"/>
  <c r="AT198" i="6"/>
  <c r="AP198" i="6"/>
  <c r="AO198" i="6"/>
  <c r="AK198" i="6"/>
  <c r="AJ198" i="6"/>
  <c r="AA198" i="6"/>
  <c r="Z198" i="6"/>
  <c r="V198" i="6"/>
  <c r="U198" i="6"/>
  <c r="Q198" i="6"/>
  <c r="P198" i="6"/>
  <c r="L198" i="6"/>
  <c r="K198" i="6"/>
  <c r="G198" i="6"/>
  <c r="F198" i="6"/>
  <c r="BE196" i="6"/>
  <c r="BD196" i="6"/>
  <c r="G196" i="6"/>
  <c r="F196" i="6"/>
  <c r="AP195" i="6"/>
  <c r="AO195" i="6"/>
  <c r="AK195" i="6"/>
  <c r="AJ195" i="6"/>
  <c r="AA195" i="6"/>
  <c r="Z195" i="6"/>
  <c r="V195" i="6"/>
  <c r="U195" i="6"/>
  <c r="Q195" i="6"/>
  <c r="P195" i="6"/>
  <c r="L195" i="6"/>
  <c r="K195" i="6"/>
  <c r="G195" i="6"/>
  <c r="F195" i="6"/>
  <c r="AP193" i="6"/>
  <c r="AO193" i="6"/>
  <c r="AK193" i="6"/>
  <c r="AJ193" i="6"/>
  <c r="AA193" i="6"/>
  <c r="Z193" i="6"/>
  <c r="Q193" i="6"/>
  <c r="P193" i="6"/>
  <c r="L193" i="6"/>
  <c r="K193" i="6"/>
  <c r="G193" i="6"/>
  <c r="F193" i="6"/>
  <c r="AP192" i="6"/>
  <c r="AO192" i="6"/>
  <c r="AK192" i="6"/>
  <c r="AJ192" i="6"/>
  <c r="AA192" i="6"/>
  <c r="Z192" i="6"/>
  <c r="V192" i="6"/>
  <c r="U192" i="6"/>
  <c r="L192" i="6"/>
  <c r="K192" i="6"/>
  <c r="AK191" i="6"/>
  <c r="AJ191" i="6"/>
  <c r="L191" i="6"/>
  <c r="K191" i="6"/>
  <c r="G191" i="6"/>
  <c r="F191" i="6"/>
  <c r="AP190" i="6"/>
  <c r="AO190" i="6"/>
  <c r="AK190" i="6"/>
  <c r="AJ190" i="6"/>
  <c r="AF190" i="6"/>
  <c r="AE190" i="6"/>
  <c r="AA190" i="6"/>
  <c r="Z190" i="6"/>
  <c r="Q190" i="6"/>
  <c r="P190" i="6"/>
  <c r="L190" i="6"/>
  <c r="K190" i="6"/>
  <c r="G190" i="6"/>
  <c r="F190" i="6"/>
  <c r="AK187" i="6"/>
  <c r="AJ187" i="6"/>
  <c r="V187" i="6"/>
  <c r="U187" i="6"/>
  <c r="Q187" i="6"/>
  <c r="P187" i="6"/>
  <c r="L187" i="6"/>
  <c r="K187" i="6"/>
  <c r="G187" i="6"/>
  <c r="F187" i="6"/>
  <c r="BE186" i="6"/>
  <c r="BD186" i="6"/>
  <c r="AU186" i="6"/>
  <c r="AT186" i="6"/>
  <c r="AP186" i="6"/>
  <c r="AO186" i="6"/>
  <c r="AK186" i="6"/>
  <c r="AJ186" i="6"/>
  <c r="AF186" i="6"/>
  <c r="AE186" i="6"/>
  <c r="AA186" i="6"/>
  <c r="Z186" i="6"/>
  <c r="V186" i="6"/>
  <c r="U186" i="6"/>
  <c r="Q186" i="6"/>
  <c r="P186" i="6"/>
  <c r="L186" i="6"/>
  <c r="K186" i="6"/>
  <c r="G186" i="6"/>
  <c r="F186" i="6"/>
  <c r="AZ184" i="6"/>
  <c r="AU184" i="6"/>
  <c r="AT184" i="6"/>
  <c r="AP184" i="6"/>
  <c r="AO184" i="6"/>
  <c r="AK184" i="6"/>
  <c r="AJ184" i="6"/>
  <c r="AA184" i="6"/>
  <c r="Z184" i="6"/>
  <c r="V184" i="6"/>
  <c r="U184" i="6"/>
  <c r="Q184" i="6"/>
  <c r="P184" i="6"/>
  <c r="L184" i="6"/>
  <c r="K184" i="6"/>
  <c r="G184" i="6"/>
  <c r="F184" i="6"/>
  <c r="BE183" i="6"/>
  <c r="BD183" i="6"/>
  <c r="AU183" i="6"/>
  <c r="AT183" i="6"/>
  <c r="AP183" i="6"/>
  <c r="AO183" i="6"/>
  <c r="AK183" i="6"/>
  <c r="AJ183" i="6"/>
  <c r="AA183" i="6"/>
  <c r="Z183" i="6"/>
  <c r="V183" i="6"/>
  <c r="U183" i="6"/>
  <c r="Q183" i="6"/>
  <c r="P183" i="6"/>
  <c r="L183" i="6"/>
  <c r="K183" i="6"/>
  <c r="G183" i="6"/>
  <c r="F183" i="6"/>
  <c r="AK182" i="6"/>
  <c r="AJ182" i="6"/>
  <c r="AA182" i="6"/>
  <c r="Z182" i="6"/>
  <c r="V182" i="6"/>
  <c r="U182" i="6"/>
  <c r="L182" i="6"/>
  <c r="K182" i="6"/>
  <c r="AU181" i="6"/>
  <c r="AT181" i="6"/>
  <c r="AP181" i="6"/>
  <c r="AO181" i="6"/>
  <c r="AK181" i="6"/>
  <c r="AJ181" i="6"/>
  <c r="AA181" i="6"/>
  <c r="Z181" i="6"/>
  <c r="V181" i="6"/>
  <c r="U181" i="6"/>
  <c r="Q181" i="6"/>
  <c r="P181" i="6"/>
  <c r="L181" i="6"/>
  <c r="K181" i="6"/>
  <c r="BE180" i="6"/>
  <c r="BD180" i="6"/>
  <c r="AF180" i="6"/>
  <c r="V180" i="6"/>
  <c r="Q180" i="6"/>
  <c r="G180" i="6"/>
  <c r="AP179" i="6"/>
  <c r="AO179" i="6"/>
  <c r="AJ179" i="6"/>
  <c r="AA179" i="6"/>
  <c r="Z179" i="6"/>
  <c r="V179" i="6"/>
  <c r="Q179" i="6"/>
  <c r="P179" i="6"/>
  <c r="L179" i="6"/>
  <c r="K179" i="6"/>
  <c r="G179" i="6"/>
  <c r="F179" i="6"/>
  <c r="AU178" i="6"/>
  <c r="AT178" i="6"/>
  <c r="AP178" i="6"/>
  <c r="AO178" i="6"/>
  <c r="AK178" i="6"/>
  <c r="AJ178" i="6"/>
  <c r="AF178" i="6"/>
  <c r="AE178" i="6"/>
  <c r="AA178" i="6"/>
  <c r="Z178" i="6"/>
  <c r="V178" i="6"/>
  <c r="U178" i="6"/>
  <c r="Q178" i="6"/>
  <c r="P178" i="6"/>
  <c r="L178" i="6"/>
  <c r="K178" i="6"/>
  <c r="G178" i="6"/>
  <c r="F178" i="6"/>
  <c r="BE177" i="6"/>
  <c r="BD177" i="6"/>
  <c r="AZ177" i="6"/>
  <c r="AY177" i="6"/>
  <c r="AU177" i="6"/>
  <c r="AT177" i="6"/>
  <c r="AP177" i="6"/>
  <c r="AO177" i="6"/>
  <c r="AK177" i="6"/>
  <c r="AJ177" i="6"/>
  <c r="AF177" i="6"/>
  <c r="AE177" i="6"/>
  <c r="AA177" i="6"/>
  <c r="Z177" i="6"/>
  <c r="V177" i="6"/>
  <c r="U177" i="6"/>
  <c r="Q177" i="6"/>
  <c r="P177" i="6"/>
  <c r="L177" i="6"/>
  <c r="K177" i="6"/>
  <c r="G177" i="6"/>
  <c r="F177" i="6"/>
  <c r="BE176" i="6"/>
  <c r="BD176" i="6"/>
  <c r="AZ176" i="6"/>
  <c r="AP176" i="6"/>
  <c r="AO176" i="6"/>
  <c r="AK176" i="6"/>
  <c r="AJ176" i="6"/>
  <c r="AA176" i="6"/>
  <c r="Z176" i="6"/>
  <c r="V176" i="6"/>
  <c r="U176" i="6"/>
  <c r="Q176" i="6"/>
  <c r="P176" i="6"/>
  <c r="L176" i="6"/>
  <c r="K176" i="6"/>
  <c r="G176" i="6"/>
  <c r="F176" i="6"/>
  <c r="BE175" i="6"/>
  <c r="BD175" i="6"/>
  <c r="AU175" i="6"/>
  <c r="AT175" i="6"/>
  <c r="AP175" i="6"/>
  <c r="AO175" i="6"/>
  <c r="AK175" i="6"/>
  <c r="AJ175" i="6"/>
  <c r="AE175" i="6"/>
  <c r="AA175" i="6"/>
  <c r="Z175" i="6"/>
  <c r="V175" i="6"/>
  <c r="U175" i="6"/>
  <c r="Q175" i="6"/>
  <c r="P175" i="6"/>
  <c r="L175" i="6"/>
  <c r="K175" i="6"/>
  <c r="G175" i="6"/>
  <c r="F175" i="6"/>
  <c r="AZ174" i="6"/>
  <c r="AP174" i="6"/>
  <c r="AO174" i="6"/>
  <c r="AK174" i="6"/>
  <c r="AJ174" i="6"/>
  <c r="AE174" i="6"/>
  <c r="AA174" i="6"/>
  <c r="Z174" i="6"/>
  <c r="V174" i="6"/>
  <c r="U174" i="6"/>
  <c r="Q174" i="6"/>
  <c r="P174" i="6"/>
  <c r="L174" i="6"/>
  <c r="K174" i="6"/>
  <c r="G174" i="6"/>
  <c r="F174" i="6"/>
  <c r="BE173" i="6"/>
  <c r="BD173" i="6"/>
  <c r="AZ173" i="6"/>
  <c r="AU173" i="6"/>
  <c r="AT173" i="6"/>
  <c r="AP173" i="6"/>
  <c r="AO173" i="6"/>
  <c r="AK173" i="6"/>
  <c r="AJ173" i="6"/>
  <c r="AA173" i="6"/>
  <c r="Z173" i="6"/>
  <c r="V173" i="6"/>
  <c r="U173" i="6"/>
  <c r="Q173" i="6"/>
  <c r="P173" i="6"/>
  <c r="L173" i="6"/>
  <c r="K173" i="6"/>
  <c r="G173" i="6"/>
  <c r="F173" i="6"/>
  <c r="BE172" i="6"/>
  <c r="BD172" i="6"/>
  <c r="AK172" i="6"/>
  <c r="V172" i="6"/>
  <c r="U172" i="6"/>
  <c r="AK170" i="6"/>
  <c r="AJ170" i="6"/>
  <c r="V170" i="6"/>
  <c r="U170" i="6"/>
  <c r="L170" i="6"/>
  <c r="K170" i="6"/>
  <c r="G170" i="6"/>
  <c r="BE169" i="6"/>
  <c r="BD169" i="6"/>
  <c r="AU168" i="6"/>
  <c r="AT168" i="6"/>
  <c r="AP168" i="6"/>
  <c r="AO168" i="6"/>
  <c r="AK168" i="6"/>
  <c r="AJ168" i="6"/>
  <c r="AF168" i="6"/>
  <c r="AE168" i="6"/>
  <c r="V168" i="6"/>
  <c r="U168" i="6"/>
  <c r="Q168" i="6"/>
  <c r="P168" i="6"/>
  <c r="L168" i="6"/>
  <c r="K168" i="6"/>
  <c r="G168" i="6"/>
  <c r="F168" i="6"/>
  <c r="AU167" i="6"/>
  <c r="AT167" i="6"/>
  <c r="AP167" i="6"/>
  <c r="AO167" i="6"/>
  <c r="AK167" i="6"/>
  <c r="AJ167" i="6"/>
  <c r="AF167" i="6"/>
  <c r="AE167" i="6"/>
  <c r="AA167" i="6"/>
  <c r="Z167" i="6"/>
  <c r="V167" i="6"/>
  <c r="U167" i="6"/>
  <c r="Q167" i="6"/>
  <c r="P167" i="6"/>
  <c r="L167" i="6"/>
  <c r="K167" i="6"/>
  <c r="G167" i="6"/>
  <c r="F167" i="6"/>
  <c r="AP166" i="6"/>
  <c r="AO166" i="6"/>
  <c r="AK166" i="6"/>
  <c r="AJ166" i="6"/>
  <c r="AF166" i="6"/>
  <c r="AE166" i="6"/>
  <c r="AA166" i="6"/>
  <c r="Z166" i="6"/>
  <c r="V166" i="6"/>
  <c r="Q166" i="6"/>
  <c r="P166" i="6"/>
  <c r="L166" i="6"/>
  <c r="K166" i="6"/>
  <c r="G166" i="6"/>
  <c r="F166" i="6"/>
  <c r="AK165" i="6"/>
  <c r="AJ165" i="6"/>
  <c r="V165" i="6"/>
  <c r="U165" i="6"/>
  <c r="Q165" i="6"/>
  <c r="P165" i="6"/>
  <c r="L165" i="6"/>
  <c r="K165" i="6"/>
  <c r="G165" i="6"/>
  <c r="F165" i="6"/>
  <c r="BE164" i="6"/>
  <c r="BD164" i="6"/>
  <c r="AP164" i="6"/>
  <c r="AO164" i="6"/>
  <c r="AK164" i="6"/>
  <c r="AJ164" i="6"/>
  <c r="AA164" i="6"/>
  <c r="Z164" i="6"/>
  <c r="V164" i="6"/>
  <c r="U164" i="6"/>
  <c r="Q164" i="6"/>
  <c r="P164" i="6"/>
  <c r="L164" i="6"/>
  <c r="K164" i="6"/>
  <c r="G164" i="6"/>
  <c r="F164" i="6"/>
  <c r="BE163" i="6"/>
  <c r="BD163" i="6"/>
  <c r="AU163" i="6"/>
  <c r="AT163" i="6"/>
  <c r="AP163" i="6"/>
  <c r="AO163" i="6"/>
  <c r="AK163" i="6"/>
  <c r="AJ163" i="6"/>
  <c r="AA163" i="6"/>
  <c r="Z163" i="6"/>
  <c r="V163" i="6"/>
  <c r="U163" i="6"/>
  <c r="Q163" i="6"/>
  <c r="P163" i="6"/>
  <c r="L163" i="6"/>
  <c r="K163" i="6"/>
  <c r="G163" i="6"/>
  <c r="F163" i="6"/>
  <c r="BE162" i="6"/>
  <c r="AU162" i="6"/>
  <c r="AT162" i="6"/>
  <c r="AP162" i="6"/>
  <c r="AO162" i="6"/>
  <c r="AK162" i="6"/>
  <c r="AJ162" i="6"/>
  <c r="AF162" i="6"/>
  <c r="AE162" i="6"/>
  <c r="AA162" i="6"/>
  <c r="Z162" i="6"/>
  <c r="V162" i="6"/>
  <c r="U162" i="6"/>
  <c r="Q162" i="6"/>
  <c r="P162" i="6"/>
  <c r="L162" i="6"/>
  <c r="K162" i="6"/>
  <c r="G162" i="6"/>
  <c r="F162" i="6"/>
  <c r="AU161" i="6"/>
  <c r="AT161" i="6"/>
  <c r="AP161" i="6"/>
  <c r="AO161" i="6"/>
  <c r="AK161" i="6"/>
  <c r="AJ161" i="6"/>
  <c r="AA161" i="6"/>
  <c r="Z161" i="6"/>
  <c r="V161" i="6"/>
  <c r="U161" i="6"/>
  <c r="Q161" i="6"/>
  <c r="P161" i="6"/>
  <c r="L161" i="6"/>
  <c r="K161" i="6"/>
  <c r="G161" i="6"/>
  <c r="F161" i="6"/>
  <c r="AU160" i="6"/>
  <c r="AT160" i="6"/>
  <c r="AP160" i="6"/>
  <c r="AO160" i="6"/>
  <c r="AK160" i="6"/>
  <c r="AJ160" i="6"/>
  <c r="AF160" i="6"/>
  <c r="AE160" i="6"/>
  <c r="AA160" i="6"/>
  <c r="Z160" i="6"/>
  <c r="V160" i="6"/>
  <c r="U160" i="6"/>
  <c r="Q160" i="6"/>
  <c r="P160" i="6"/>
  <c r="L160" i="6"/>
  <c r="K160" i="6"/>
  <c r="G160" i="6"/>
  <c r="F160" i="6"/>
  <c r="AZ159" i="6"/>
  <c r="AT159" i="6"/>
  <c r="AP159" i="6"/>
  <c r="AO159" i="6"/>
  <c r="AK159" i="6"/>
  <c r="AJ159" i="6"/>
  <c r="AA159" i="6"/>
  <c r="Z159" i="6"/>
  <c r="V159" i="6"/>
  <c r="U159" i="6"/>
  <c r="Q159" i="6"/>
  <c r="P159" i="6"/>
  <c r="L159" i="6"/>
  <c r="K159" i="6"/>
  <c r="G159" i="6"/>
  <c r="F159" i="6"/>
  <c r="AZ158" i="6"/>
  <c r="AU158" i="6"/>
  <c r="AT158" i="6"/>
  <c r="AP158" i="6"/>
  <c r="AO158" i="6"/>
  <c r="AK158" i="6"/>
  <c r="AJ158" i="6"/>
  <c r="AF158" i="6"/>
  <c r="AE158" i="6"/>
  <c r="AA158" i="6"/>
  <c r="Z158" i="6"/>
  <c r="Q158" i="6"/>
  <c r="P158" i="6"/>
  <c r="L158" i="6"/>
  <c r="K158" i="6"/>
  <c r="G158" i="6"/>
  <c r="F158" i="6"/>
  <c r="AP157" i="6"/>
  <c r="AO157" i="6"/>
  <c r="AK157" i="6"/>
  <c r="AJ157" i="6"/>
  <c r="AA157" i="6"/>
  <c r="Z157" i="6"/>
  <c r="Q157" i="6"/>
  <c r="P157" i="6"/>
  <c r="L157" i="6"/>
  <c r="K157" i="6"/>
  <c r="G157" i="6"/>
  <c r="F157" i="6"/>
  <c r="BE156" i="6"/>
  <c r="BD156" i="6"/>
  <c r="AU156" i="6"/>
  <c r="AT156" i="6"/>
  <c r="AP156" i="6"/>
  <c r="AO156" i="6"/>
  <c r="AK156" i="6"/>
  <c r="AJ156" i="6"/>
  <c r="AA156" i="6"/>
  <c r="Z156" i="6"/>
  <c r="V156" i="6"/>
  <c r="U156" i="6"/>
  <c r="Q156" i="6"/>
  <c r="P156" i="6"/>
  <c r="L156" i="6"/>
  <c r="K156" i="6"/>
  <c r="G156" i="6"/>
  <c r="F156" i="6"/>
  <c r="AP155" i="6"/>
  <c r="AO155" i="6"/>
  <c r="AK155" i="6"/>
  <c r="AJ155" i="6"/>
  <c r="Q155" i="6"/>
  <c r="P155" i="6"/>
  <c r="L155" i="6"/>
  <c r="K155" i="6"/>
  <c r="G155" i="6"/>
  <c r="F155" i="6"/>
  <c r="AP152" i="6"/>
  <c r="AO152" i="6"/>
  <c r="AK152" i="6"/>
  <c r="AJ152" i="6"/>
  <c r="Q152" i="6"/>
  <c r="P152" i="6"/>
  <c r="L152" i="6"/>
  <c r="K152" i="6"/>
  <c r="G152" i="6"/>
  <c r="F152" i="6"/>
  <c r="BE151" i="6"/>
  <c r="BD151" i="6"/>
  <c r="AP150" i="6"/>
  <c r="AO150" i="6"/>
  <c r="Q150" i="6"/>
  <c r="P150" i="6"/>
  <c r="L150" i="6"/>
  <c r="K150" i="6"/>
  <c r="G150" i="6"/>
  <c r="F150" i="6"/>
  <c r="AP149" i="6"/>
  <c r="AO149" i="6"/>
  <c r="AF149" i="6"/>
  <c r="AE149" i="6"/>
  <c r="Q149" i="6"/>
  <c r="P149" i="6"/>
  <c r="L149" i="6"/>
  <c r="K149" i="6"/>
  <c r="G149" i="6"/>
  <c r="F149" i="6"/>
  <c r="BE148" i="6"/>
  <c r="BD148" i="6"/>
  <c r="AU148" i="6"/>
  <c r="AT148" i="6"/>
  <c r="AP148" i="6"/>
  <c r="AO148" i="6"/>
  <c r="AK148" i="6"/>
  <c r="AJ148" i="6"/>
  <c r="AF148" i="6"/>
  <c r="AE148" i="6"/>
  <c r="AA148" i="6"/>
  <c r="Z148" i="6"/>
  <c r="V148" i="6"/>
  <c r="U148" i="6"/>
  <c r="Q148" i="6"/>
  <c r="P148" i="6"/>
  <c r="L148" i="6"/>
  <c r="K148" i="6"/>
  <c r="G148" i="6"/>
  <c r="F148" i="6"/>
  <c r="AZ147" i="6"/>
  <c r="AU147" i="6"/>
  <c r="AT147" i="6"/>
  <c r="AP147" i="6"/>
  <c r="AO147" i="6"/>
  <c r="AK147" i="6"/>
  <c r="AJ147" i="6"/>
  <c r="V147" i="6"/>
  <c r="U147" i="6"/>
  <c r="Q147" i="6"/>
  <c r="P147" i="6"/>
  <c r="L147" i="6"/>
  <c r="K147" i="6"/>
  <c r="G147" i="6"/>
  <c r="F147" i="6"/>
  <c r="AU146" i="6"/>
  <c r="AT146" i="6"/>
  <c r="AP146" i="6"/>
  <c r="AO146" i="6"/>
  <c r="AK146" i="6"/>
  <c r="AJ146" i="6"/>
  <c r="AF146" i="6"/>
  <c r="AE146" i="6"/>
  <c r="V146" i="6"/>
  <c r="U146" i="6"/>
  <c r="Q146" i="6"/>
  <c r="P146" i="6"/>
  <c r="L146" i="6"/>
  <c r="K146" i="6"/>
  <c r="G146" i="6"/>
  <c r="F146" i="6"/>
  <c r="AU145" i="6"/>
  <c r="AT145" i="6"/>
  <c r="AP145" i="6"/>
  <c r="AO145" i="6"/>
  <c r="AK145" i="6"/>
  <c r="AJ145" i="6"/>
  <c r="AF145" i="6"/>
  <c r="AE145" i="6"/>
  <c r="V145" i="6"/>
  <c r="U145" i="6"/>
  <c r="Q145" i="6"/>
  <c r="P145" i="6"/>
  <c r="L145" i="6"/>
  <c r="K145" i="6"/>
  <c r="G145" i="6"/>
  <c r="F145" i="6"/>
  <c r="AU144" i="6"/>
  <c r="AT144" i="6"/>
  <c r="AP144" i="6"/>
  <c r="AO144" i="6"/>
  <c r="AK144" i="6"/>
  <c r="AJ144" i="6"/>
  <c r="AF144" i="6"/>
  <c r="AE144" i="6"/>
  <c r="Q144" i="6"/>
  <c r="P144" i="6"/>
  <c r="L144" i="6"/>
  <c r="K144" i="6"/>
  <c r="G144" i="6"/>
  <c r="F144" i="6"/>
  <c r="AU143" i="6"/>
  <c r="AT143" i="6"/>
  <c r="AP143" i="6"/>
  <c r="AO143" i="6"/>
  <c r="AK143" i="6"/>
  <c r="AJ143" i="6"/>
  <c r="AF143" i="6"/>
  <c r="AE143" i="6"/>
  <c r="AA143" i="6"/>
  <c r="Z143" i="6"/>
  <c r="V143" i="6"/>
  <c r="U143" i="6"/>
  <c r="Q143" i="6"/>
  <c r="P143" i="6"/>
  <c r="L143" i="6"/>
  <c r="K143" i="6"/>
  <c r="G143" i="6"/>
  <c r="F143" i="6"/>
  <c r="AK142" i="6"/>
  <c r="AJ142" i="6"/>
  <c r="AA142" i="6"/>
  <c r="Z142" i="6"/>
  <c r="Q142" i="6"/>
  <c r="P142" i="6"/>
  <c r="L142" i="6"/>
  <c r="K142" i="6"/>
  <c r="G142" i="6"/>
  <c r="F142" i="6"/>
  <c r="AU141" i="6"/>
  <c r="AT141" i="6"/>
  <c r="AP141" i="6"/>
  <c r="AO141" i="6"/>
  <c r="AK141" i="6"/>
  <c r="AJ141" i="6"/>
  <c r="AA141" i="6"/>
  <c r="Z141" i="6"/>
  <c r="V141" i="6"/>
  <c r="U141" i="6"/>
  <c r="Q141" i="6"/>
  <c r="P141" i="6"/>
  <c r="L141" i="6"/>
  <c r="K141" i="6"/>
  <c r="G141" i="6"/>
  <c r="F141" i="6"/>
  <c r="V139" i="6"/>
  <c r="G139" i="6"/>
  <c r="AK138" i="6"/>
  <c r="AJ138" i="6"/>
  <c r="V138" i="6"/>
  <c r="Q138" i="6"/>
  <c r="L138" i="6"/>
  <c r="G138" i="6"/>
  <c r="F138" i="6"/>
  <c r="AU137" i="6"/>
  <c r="AT137" i="6"/>
  <c r="AP137" i="6"/>
  <c r="AO137" i="6"/>
  <c r="AK137" i="6"/>
  <c r="AJ137" i="6"/>
  <c r="AA137" i="6"/>
  <c r="Z137" i="6"/>
  <c r="Q137" i="6"/>
  <c r="P137" i="6"/>
  <c r="L137" i="6"/>
  <c r="K137" i="6"/>
  <c r="G137" i="6"/>
  <c r="F137" i="6"/>
  <c r="BE136" i="6"/>
  <c r="BD136" i="6"/>
  <c r="AZ136" i="6"/>
  <c r="AU136" i="6"/>
  <c r="AT136" i="6"/>
  <c r="AP136" i="6"/>
  <c r="AO136" i="6"/>
  <c r="AK136" i="6"/>
  <c r="AJ136" i="6"/>
  <c r="AF136" i="6"/>
  <c r="AE136" i="6"/>
  <c r="AA136" i="6"/>
  <c r="Z136" i="6"/>
  <c r="V136" i="6"/>
  <c r="U136" i="6"/>
  <c r="Q136" i="6"/>
  <c r="P136" i="6"/>
  <c r="L136" i="6"/>
  <c r="K136" i="6"/>
  <c r="G136" i="6"/>
  <c r="F136" i="6"/>
  <c r="BJ134" i="6"/>
  <c r="BI134" i="6"/>
  <c r="AU134" i="6"/>
  <c r="AT134" i="6"/>
  <c r="AP134" i="6"/>
  <c r="AO134" i="6"/>
  <c r="AK134" i="6"/>
  <c r="AJ134" i="6"/>
  <c r="AF134" i="6"/>
  <c r="AE134" i="6"/>
  <c r="AA134" i="6"/>
  <c r="Z134" i="6"/>
  <c r="V134" i="6"/>
  <c r="U134" i="6"/>
  <c r="Q134" i="6"/>
  <c r="P134" i="6"/>
  <c r="L134" i="6"/>
  <c r="K134" i="6"/>
  <c r="G134" i="6"/>
  <c r="F134" i="6"/>
  <c r="AU133" i="6"/>
  <c r="AT133" i="6"/>
  <c r="AP133" i="6"/>
  <c r="AO133" i="6"/>
  <c r="AK133" i="6"/>
  <c r="AJ133" i="6"/>
  <c r="AF133" i="6"/>
  <c r="AE133" i="6"/>
  <c r="AA133" i="6"/>
  <c r="Z133" i="6"/>
  <c r="V133" i="6"/>
  <c r="U133" i="6"/>
  <c r="Q133" i="6"/>
  <c r="P133" i="6"/>
  <c r="L133" i="6"/>
  <c r="K133" i="6"/>
  <c r="G133" i="6"/>
  <c r="F133" i="6"/>
  <c r="AP130" i="6"/>
  <c r="AO130" i="6"/>
  <c r="AK130" i="6"/>
  <c r="AJ130" i="6"/>
  <c r="AA130" i="6"/>
  <c r="Z130" i="6"/>
  <c r="V130" i="6"/>
  <c r="Q130" i="6"/>
  <c r="P130" i="6"/>
  <c r="L130" i="6"/>
  <c r="K130" i="6"/>
  <c r="G130" i="6"/>
  <c r="F130" i="6"/>
  <c r="BE129" i="6"/>
  <c r="BD129" i="6"/>
  <c r="AU129" i="6"/>
  <c r="AT129" i="6"/>
  <c r="AP129" i="6"/>
  <c r="AO129" i="6"/>
  <c r="AK129" i="6"/>
  <c r="AJ129" i="6"/>
  <c r="AE129" i="6"/>
  <c r="AA129" i="6"/>
  <c r="Z129" i="6"/>
  <c r="V129" i="6"/>
  <c r="U129" i="6"/>
  <c r="Q129" i="6"/>
  <c r="P129" i="6"/>
  <c r="G129" i="6"/>
  <c r="F129" i="6"/>
  <c r="BE128" i="6"/>
  <c r="BD128" i="6"/>
  <c r="V128" i="6"/>
  <c r="U128" i="6"/>
  <c r="G128" i="6"/>
  <c r="F128" i="6"/>
  <c r="AP127" i="6"/>
  <c r="AO127" i="6"/>
  <c r="AK127" i="6"/>
  <c r="AJ127" i="6"/>
  <c r="AA127" i="6"/>
  <c r="Z127" i="6"/>
  <c r="V127" i="6"/>
  <c r="U127" i="6"/>
  <c r="Q127" i="6"/>
  <c r="P127" i="6"/>
  <c r="L127" i="6"/>
  <c r="K127" i="6"/>
  <c r="BE126" i="6"/>
  <c r="BD126" i="6"/>
  <c r="AP126" i="6"/>
  <c r="AO126" i="6"/>
  <c r="AK126" i="6"/>
  <c r="AJ126" i="6"/>
  <c r="AA126" i="6"/>
  <c r="Z126" i="6"/>
  <c r="V126" i="6"/>
  <c r="U126" i="6"/>
  <c r="Q126" i="6"/>
  <c r="P126" i="6"/>
  <c r="L126" i="6"/>
  <c r="K126" i="6"/>
  <c r="AP125" i="6"/>
  <c r="AO125" i="6"/>
  <c r="AA125" i="6"/>
  <c r="Z125" i="6"/>
  <c r="Q125" i="6"/>
  <c r="P125" i="6"/>
  <c r="L125" i="6"/>
  <c r="K125" i="6"/>
  <c r="AU124" i="6"/>
  <c r="AT124" i="6"/>
  <c r="AP124" i="6"/>
  <c r="AO124" i="6"/>
  <c r="AK124" i="6"/>
  <c r="AJ124" i="6"/>
  <c r="AF124" i="6"/>
  <c r="AE124" i="6"/>
  <c r="AA124" i="6"/>
  <c r="Z124" i="6"/>
  <c r="V124" i="6"/>
  <c r="U124" i="6"/>
  <c r="Q124" i="6"/>
  <c r="P124" i="6"/>
  <c r="L124" i="6"/>
  <c r="K124" i="6"/>
  <c r="G124" i="6"/>
  <c r="F124" i="6"/>
  <c r="AP123" i="6"/>
  <c r="AO123" i="6"/>
  <c r="Q123" i="6"/>
  <c r="P123" i="6"/>
  <c r="L123" i="6"/>
  <c r="K123" i="6"/>
  <c r="AP122" i="6"/>
  <c r="AO122" i="6"/>
  <c r="AA122" i="6"/>
  <c r="Z122" i="6"/>
  <c r="Q122" i="6"/>
  <c r="P122" i="6"/>
  <c r="L122" i="6"/>
  <c r="K122" i="6"/>
  <c r="AP121" i="6"/>
  <c r="AO121" i="6"/>
  <c r="P121" i="6"/>
  <c r="BE119" i="6"/>
  <c r="BD119" i="6"/>
  <c r="AU119" i="6"/>
  <c r="AT119" i="6"/>
  <c r="AP119" i="6"/>
  <c r="AO119" i="6"/>
  <c r="AK119" i="6"/>
  <c r="AJ119" i="6"/>
  <c r="AF119" i="6"/>
  <c r="AE119" i="6"/>
  <c r="AA119" i="6"/>
  <c r="Z119" i="6"/>
  <c r="V119" i="6"/>
  <c r="U119" i="6"/>
  <c r="Q119" i="6"/>
  <c r="P119" i="6"/>
  <c r="L119" i="6"/>
  <c r="K119" i="6"/>
  <c r="G119" i="6"/>
  <c r="F119" i="6"/>
  <c r="BE118" i="6"/>
  <c r="BD118" i="6"/>
  <c r="AZ118" i="6"/>
  <c r="AY118" i="6"/>
  <c r="AU118" i="6"/>
  <c r="AT118" i="6"/>
  <c r="AP118" i="6"/>
  <c r="AO118" i="6"/>
  <c r="AK118" i="6"/>
  <c r="AJ118" i="6"/>
  <c r="AF118" i="6"/>
  <c r="AE118" i="6"/>
  <c r="AA118" i="6"/>
  <c r="Z118" i="6"/>
  <c r="V118" i="6"/>
  <c r="U118" i="6"/>
  <c r="Q118" i="6"/>
  <c r="P118" i="6"/>
  <c r="L118" i="6"/>
  <c r="K118" i="6"/>
  <c r="G118" i="6"/>
  <c r="F118" i="6"/>
  <c r="BJ115" i="6"/>
  <c r="BI115" i="6"/>
  <c r="BE115" i="6"/>
  <c r="BD115" i="6"/>
  <c r="AZ115" i="6"/>
  <c r="AY115" i="6"/>
  <c r="AU115" i="6"/>
  <c r="AT115" i="6"/>
  <c r="AP115" i="6"/>
  <c r="AO115" i="6"/>
  <c r="AK115" i="6"/>
  <c r="AJ115" i="6"/>
  <c r="AF115" i="6"/>
  <c r="AE115" i="6"/>
  <c r="AA115" i="6"/>
  <c r="Z115" i="6"/>
  <c r="V115" i="6"/>
  <c r="U115" i="6"/>
  <c r="Q115" i="6"/>
  <c r="P115" i="6"/>
  <c r="L115" i="6"/>
  <c r="K115" i="6"/>
  <c r="G115" i="6"/>
  <c r="F115" i="6"/>
  <c r="BE114" i="6"/>
  <c r="AZ114" i="6"/>
  <c r="AY114" i="6"/>
  <c r="AU114" i="6"/>
  <c r="AT114" i="6"/>
  <c r="AP114" i="6"/>
  <c r="AO114" i="6"/>
  <c r="AK114" i="6"/>
  <c r="AJ114" i="6"/>
  <c r="AA114" i="6"/>
  <c r="Z114" i="6"/>
  <c r="V114" i="6"/>
  <c r="U114" i="6"/>
  <c r="Q114" i="6"/>
  <c r="P114" i="6"/>
  <c r="L114" i="6"/>
  <c r="K114" i="6"/>
  <c r="G114" i="6"/>
  <c r="F114" i="6"/>
  <c r="AY113" i="6"/>
  <c r="AU113" i="6"/>
  <c r="AT113" i="6"/>
  <c r="AP113" i="6"/>
  <c r="AO113" i="6"/>
  <c r="AK113" i="6"/>
  <c r="AJ113" i="6"/>
  <c r="AA113" i="6"/>
  <c r="Z113" i="6"/>
  <c r="V113" i="6"/>
  <c r="U113" i="6"/>
  <c r="Q113" i="6"/>
  <c r="P113" i="6"/>
  <c r="L113" i="6"/>
  <c r="K113" i="6"/>
  <c r="G113" i="6"/>
  <c r="F113" i="6"/>
  <c r="AP111" i="6"/>
  <c r="AO111" i="6"/>
  <c r="AK111" i="6"/>
  <c r="AJ111" i="6"/>
  <c r="AA111" i="6"/>
  <c r="Z111" i="6"/>
  <c r="V111" i="6"/>
  <c r="U111" i="6"/>
  <c r="Q111" i="6"/>
  <c r="P111" i="6"/>
  <c r="L111" i="6"/>
  <c r="K111" i="6"/>
  <c r="G111" i="6"/>
  <c r="F111" i="6"/>
  <c r="AP110" i="6"/>
  <c r="AO110" i="6"/>
  <c r="AK110" i="6"/>
  <c r="AJ110" i="6"/>
  <c r="AA110" i="6"/>
  <c r="Z110" i="6"/>
  <c r="V110" i="6"/>
  <c r="U110" i="6"/>
  <c r="Q110" i="6"/>
  <c r="P110" i="6"/>
  <c r="L110" i="6"/>
  <c r="K110" i="6"/>
  <c r="G110" i="6"/>
  <c r="F110" i="6"/>
  <c r="AP109" i="6"/>
  <c r="AO109" i="6"/>
  <c r="AK109" i="6"/>
  <c r="AJ109" i="6"/>
  <c r="V109" i="6"/>
  <c r="U109" i="6"/>
  <c r="Q109" i="6"/>
  <c r="P109" i="6"/>
  <c r="L109" i="6"/>
  <c r="K109" i="6"/>
  <c r="G109" i="6"/>
  <c r="F109" i="6"/>
  <c r="BJ108" i="6"/>
  <c r="BI108" i="6"/>
  <c r="AP108" i="6"/>
  <c r="AO108" i="6"/>
  <c r="AK108" i="6"/>
  <c r="AJ108" i="6"/>
  <c r="AF108" i="6"/>
  <c r="AE108" i="6"/>
  <c r="AA108" i="6"/>
  <c r="Z108" i="6"/>
  <c r="Q108" i="6"/>
  <c r="P108" i="6"/>
  <c r="L108" i="6"/>
  <c r="K108" i="6"/>
  <c r="G108" i="6"/>
  <c r="F108" i="6"/>
  <c r="AP106" i="6"/>
  <c r="AO106" i="6"/>
  <c r="AK106" i="6"/>
  <c r="AJ106" i="6"/>
  <c r="Q106" i="6"/>
  <c r="P106" i="6"/>
  <c r="L106" i="6"/>
  <c r="K106" i="6"/>
  <c r="G106" i="6"/>
  <c r="F106" i="6"/>
  <c r="AP103" i="6"/>
  <c r="AO103" i="6"/>
  <c r="AK103" i="6"/>
  <c r="AJ103" i="6"/>
  <c r="AA103" i="6"/>
  <c r="Z103" i="6"/>
  <c r="V103" i="6"/>
  <c r="U103" i="6"/>
  <c r="Q103" i="6"/>
  <c r="P103" i="6"/>
  <c r="L103" i="6"/>
  <c r="K103" i="6"/>
  <c r="G103" i="6"/>
  <c r="F103" i="6"/>
  <c r="BJ102" i="6"/>
  <c r="BI102" i="6"/>
  <c r="AU102" i="6"/>
  <c r="AT102" i="6"/>
  <c r="AP102" i="6"/>
  <c r="AO102" i="6"/>
  <c r="AK102" i="6"/>
  <c r="AJ102" i="6"/>
  <c r="AF102" i="6"/>
  <c r="AE102" i="6"/>
  <c r="AA102" i="6"/>
  <c r="Z102" i="6"/>
  <c r="V102" i="6"/>
  <c r="U102" i="6"/>
  <c r="Q102" i="6"/>
  <c r="P102" i="6"/>
  <c r="L102" i="6"/>
  <c r="K102" i="6"/>
  <c r="G102" i="6"/>
  <c r="F102" i="6"/>
  <c r="AZ100" i="6"/>
  <c r="AU100" i="6"/>
  <c r="AT100" i="6"/>
  <c r="AP100" i="6"/>
  <c r="AO100" i="6"/>
  <c r="AK100" i="6"/>
  <c r="AJ100" i="6"/>
  <c r="AF100" i="6"/>
  <c r="AE100" i="6"/>
  <c r="AA100" i="6"/>
  <c r="Z100" i="6"/>
  <c r="V100" i="6"/>
  <c r="U100" i="6"/>
  <c r="Q100" i="6"/>
  <c r="P100" i="6"/>
  <c r="L100" i="6"/>
  <c r="K100" i="6"/>
  <c r="G100" i="6"/>
  <c r="F100" i="6"/>
  <c r="AU99" i="6"/>
  <c r="AT99" i="6"/>
  <c r="AP99" i="6"/>
  <c r="AO99" i="6"/>
  <c r="AK99" i="6"/>
  <c r="AJ99" i="6"/>
  <c r="AF99" i="6"/>
  <c r="AE99" i="6"/>
  <c r="Q99" i="6"/>
  <c r="P99" i="6"/>
  <c r="L99" i="6"/>
  <c r="K99" i="6"/>
  <c r="G99" i="6"/>
  <c r="F99" i="6"/>
  <c r="AU98" i="6"/>
  <c r="AT98" i="6"/>
  <c r="AP98" i="6"/>
  <c r="AO98" i="6"/>
  <c r="AK98" i="6"/>
  <c r="AJ98" i="6"/>
  <c r="AF98" i="6"/>
  <c r="AE98" i="6"/>
  <c r="AA98" i="6"/>
  <c r="Z98" i="6"/>
  <c r="V98" i="6"/>
  <c r="U98" i="6"/>
  <c r="Q98" i="6"/>
  <c r="P98" i="6"/>
  <c r="L98" i="6"/>
  <c r="K98" i="6"/>
  <c r="G98" i="6"/>
  <c r="F98" i="6"/>
  <c r="AP96" i="6"/>
  <c r="AO96" i="6"/>
  <c r="AK96" i="6"/>
  <c r="AJ96" i="6"/>
  <c r="AA96" i="6"/>
  <c r="Z96" i="6"/>
  <c r="Q96" i="6"/>
  <c r="P96" i="6"/>
  <c r="L96" i="6"/>
  <c r="K96" i="6"/>
  <c r="G96" i="6"/>
  <c r="F96" i="6"/>
  <c r="BJ93" i="6"/>
  <c r="BI93" i="6"/>
  <c r="AZ93" i="6"/>
  <c r="AU93" i="6"/>
  <c r="AT93" i="6"/>
  <c r="AP93" i="6"/>
  <c r="AO93" i="6"/>
  <c r="AK93" i="6"/>
  <c r="AJ93" i="6"/>
  <c r="AA93" i="6"/>
  <c r="Z93" i="6"/>
  <c r="V93" i="6"/>
  <c r="U93" i="6"/>
  <c r="Q93" i="6"/>
  <c r="P93" i="6"/>
  <c r="L93" i="6"/>
  <c r="K93" i="6"/>
  <c r="G93" i="6"/>
  <c r="F93" i="6"/>
  <c r="AP92" i="6"/>
  <c r="AO92" i="6"/>
  <c r="AK92" i="6"/>
  <c r="AJ92" i="6"/>
  <c r="V92" i="6"/>
  <c r="U92" i="6"/>
  <c r="Q92" i="6"/>
  <c r="P92" i="6"/>
  <c r="L92" i="6"/>
  <c r="K92" i="6"/>
  <c r="G92" i="6"/>
  <c r="AU91" i="6"/>
  <c r="AT91" i="6"/>
  <c r="AP91" i="6"/>
  <c r="AO91" i="6"/>
  <c r="AK91" i="6"/>
  <c r="AJ91" i="6"/>
  <c r="AA91" i="6"/>
  <c r="Z91" i="6"/>
  <c r="V91" i="6"/>
  <c r="U91" i="6"/>
  <c r="Q91" i="6"/>
  <c r="P91" i="6"/>
  <c r="L91" i="6"/>
  <c r="K91" i="6"/>
  <c r="G91" i="6"/>
  <c r="F91" i="6"/>
  <c r="AZ90" i="6"/>
  <c r="AY90" i="6"/>
  <c r="AU90" i="6"/>
  <c r="AT90" i="6"/>
  <c r="AP90" i="6"/>
  <c r="AO90" i="6"/>
  <c r="AK90" i="6"/>
  <c r="AJ90" i="6"/>
  <c r="AF90" i="6"/>
  <c r="AE90" i="6"/>
  <c r="AA90" i="6"/>
  <c r="Z90" i="6"/>
  <c r="V90" i="6"/>
  <c r="U90" i="6"/>
  <c r="Q90" i="6"/>
  <c r="P90" i="6"/>
  <c r="L90" i="6"/>
  <c r="K90" i="6"/>
  <c r="G90" i="6"/>
  <c r="F90" i="6"/>
  <c r="AZ88" i="6"/>
  <c r="AU88" i="6"/>
  <c r="AT88" i="6"/>
  <c r="AP88" i="6"/>
  <c r="AO88" i="6"/>
  <c r="AK88" i="6"/>
  <c r="AJ88" i="6"/>
  <c r="AA88" i="6"/>
  <c r="Z88" i="6"/>
  <c r="V88" i="6"/>
  <c r="U88" i="6"/>
  <c r="Q88" i="6"/>
  <c r="P88" i="6"/>
  <c r="L88" i="6"/>
  <c r="K88" i="6"/>
  <c r="G88" i="6"/>
  <c r="F88" i="6"/>
  <c r="AZ87" i="6"/>
  <c r="AU87" i="6"/>
  <c r="AT87" i="6"/>
  <c r="AP87" i="6"/>
  <c r="AO87" i="6"/>
  <c r="AK87" i="6"/>
  <c r="AJ87" i="6"/>
  <c r="AA87" i="6"/>
  <c r="Z87" i="6"/>
  <c r="V87" i="6"/>
  <c r="U87" i="6"/>
  <c r="Q87" i="6"/>
  <c r="P87" i="6"/>
  <c r="L87" i="6"/>
  <c r="K87" i="6"/>
  <c r="G87" i="6"/>
  <c r="F87" i="6"/>
  <c r="AU86" i="6"/>
  <c r="AT86" i="6"/>
  <c r="AP86" i="6"/>
  <c r="AO86" i="6"/>
  <c r="AK86" i="6"/>
  <c r="AJ86" i="6"/>
  <c r="AA86" i="6"/>
  <c r="Z86" i="6"/>
  <c r="V86" i="6"/>
  <c r="U86" i="6"/>
  <c r="Q86" i="6"/>
  <c r="P86" i="6"/>
  <c r="L86" i="6"/>
  <c r="K86" i="6"/>
  <c r="G86" i="6"/>
  <c r="F86" i="6"/>
  <c r="AP83" i="6"/>
  <c r="AO83" i="6"/>
  <c r="AK83" i="6"/>
  <c r="AJ83" i="6"/>
  <c r="AA83" i="6"/>
  <c r="Z83" i="6"/>
  <c r="V83" i="6"/>
  <c r="U83" i="6"/>
  <c r="Q83" i="6"/>
  <c r="P83" i="6"/>
  <c r="L83" i="6"/>
  <c r="K83" i="6"/>
  <c r="G83" i="6"/>
  <c r="F83" i="6"/>
  <c r="AP81" i="6"/>
  <c r="AK81" i="6"/>
  <c r="AJ81" i="6"/>
  <c r="AA81" i="6"/>
  <c r="Z81" i="6"/>
  <c r="Q81" i="6"/>
  <c r="P81" i="6"/>
  <c r="L81" i="6"/>
  <c r="K81" i="6"/>
  <c r="G81" i="6"/>
  <c r="F81" i="6"/>
  <c r="AP80" i="6"/>
  <c r="AO80" i="6"/>
  <c r="AK80" i="6"/>
  <c r="AJ80" i="6"/>
  <c r="AA80" i="6"/>
  <c r="Z80" i="6"/>
  <c r="V80" i="6"/>
  <c r="U80" i="6"/>
  <c r="L80" i="6"/>
  <c r="K80" i="6"/>
  <c r="AK79" i="6"/>
  <c r="AJ79" i="6"/>
  <c r="L79" i="6"/>
  <c r="K79" i="6"/>
  <c r="G79" i="6"/>
  <c r="F79" i="6"/>
  <c r="AP78" i="6"/>
  <c r="AO78" i="6"/>
  <c r="AK78" i="6"/>
  <c r="AJ78" i="6"/>
  <c r="AA78" i="6"/>
  <c r="Z78" i="6"/>
  <c r="Q78" i="6"/>
  <c r="P78" i="6"/>
  <c r="L78" i="6"/>
  <c r="K78" i="6"/>
  <c r="G78" i="6"/>
  <c r="F78" i="6"/>
  <c r="AK75" i="6"/>
  <c r="AJ75" i="6"/>
  <c r="V75" i="6"/>
  <c r="U75" i="6"/>
  <c r="Q75" i="6"/>
  <c r="P75" i="6"/>
  <c r="L75" i="6"/>
  <c r="K75" i="6"/>
  <c r="G75" i="6"/>
  <c r="F75" i="6"/>
  <c r="AP74" i="6"/>
  <c r="AO74" i="6"/>
  <c r="AK74" i="6"/>
  <c r="AJ74" i="6"/>
  <c r="AA74" i="6"/>
  <c r="Z74" i="6"/>
  <c r="V74" i="6"/>
  <c r="U74" i="6"/>
  <c r="Q74" i="6"/>
  <c r="P74" i="6"/>
  <c r="L74" i="6"/>
  <c r="K74" i="6"/>
  <c r="G74" i="6"/>
  <c r="F74" i="6"/>
  <c r="BE72" i="6"/>
  <c r="BD72" i="6"/>
  <c r="AZ72" i="6"/>
  <c r="AU72" i="6"/>
  <c r="AT72" i="6"/>
  <c r="AP72" i="6"/>
  <c r="AO72" i="6"/>
  <c r="AK72" i="6"/>
  <c r="AJ72" i="6"/>
  <c r="AA72" i="6"/>
  <c r="Z72" i="6"/>
  <c r="V72" i="6"/>
  <c r="U72" i="6"/>
  <c r="Q72" i="6"/>
  <c r="P72" i="6"/>
  <c r="L72" i="6"/>
  <c r="K72" i="6"/>
  <c r="G72" i="6"/>
  <c r="F72" i="6"/>
  <c r="BE71" i="6"/>
  <c r="BD71" i="6"/>
  <c r="AU71" i="6"/>
  <c r="AT71" i="6"/>
  <c r="AP71" i="6"/>
  <c r="AO71" i="6"/>
  <c r="AK71" i="6"/>
  <c r="AJ71" i="6"/>
  <c r="AA71" i="6"/>
  <c r="Z71" i="6"/>
  <c r="V71" i="6"/>
  <c r="U71" i="6"/>
  <c r="Q71" i="6"/>
  <c r="P71" i="6"/>
  <c r="L71" i="6"/>
  <c r="K71" i="6"/>
  <c r="G71" i="6"/>
  <c r="F71" i="6"/>
  <c r="AK70" i="6"/>
  <c r="AJ70" i="6"/>
  <c r="AA70" i="6"/>
  <c r="Z70" i="6"/>
  <c r="V70" i="6"/>
  <c r="U70" i="6"/>
  <c r="L70" i="6"/>
  <c r="K70" i="6"/>
  <c r="AU69" i="6"/>
  <c r="AT69" i="6"/>
  <c r="AP69" i="6"/>
  <c r="AO69" i="6"/>
  <c r="AK69" i="6"/>
  <c r="AJ69" i="6"/>
  <c r="AA69" i="6"/>
  <c r="Z69" i="6"/>
  <c r="V69" i="6"/>
  <c r="U69" i="6"/>
  <c r="Q69" i="6"/>
  <c r="P69" i="6"/>
  <c r="L69" i="6"/>
  <c r="K69" i="6"/>
  <c r="AU68" i="6"/>
  <c r="AT68" i="6"/>
  <c r="AP68" i="6"/>
  <c r="AO68" i="6"/>
  <c r="AK68" i="6"/>
  <c r="AJ68" i="6"/>
  <c r="AA68" i="6"/>
  <c r="Z68" i="6"/>
  <c r="V68" i="6"/>
  <c r="U68" i="6"/>
  <c r="Q68" i="6"/>
  <c r="P68" i="6"/>
  <c r="L68" i="6"/>
  <c r="K68" i="6"/>
  <c r="G68" i="6"/>
  <c r="F68" i="6"/>
  <c r="AP67" i="6"/>
  <c r="AO67" i="6"/>
  <c r="AJ67" i="6"/>
  <c r="AA67" i="6"/>
  <c r="Z67" i="6"/>
  <c r="V67" i="6"/>
  <c r="U67" i="6"/>
  <c r="Q67" i="6"/>
  <c r="P67" i="6"/>
  <c r="L67" i="6"/>
  <c r="K67" i="6"/>
  <c r="G67" i="6"/>
  <c r="F67" i="6"/>
  <c r="AU66" i="6"/>
  <c r="AT66" i="6"/>
  <c r="AP66" i="6"/>
  <c r="AO66" i="6"/>
  <c r="AK66" i="6"/>
  <c r="AJ66" i="6"/>
  <c r="AF66" i="6"/>
  <c r="AE66" i="6"/>
  <c r="AA66" i="6"/>
  <c r="Z66" i="6"/>
  <c r="V66" i="6"/>
  <c r="U66" i="6"/>
  <c r="Q66" i="6"/>
  <c r="P66" i="6"/>
  <c r="L66" i="6"/>
  <c r="K66" i="6"/>
  <c r="G66" i="6"/>
  <c r="F66" i="6"/>
  <c r="AZ65" i="6"/>
  <c r="AY65" i="6"/>
  <c r="AU65" i="6"/>
  <c r="AT65" i="6"/>
  <c r="AP65" i="6"/>
  <c r="AO65" i="6"/>
  <c r="AK65" i="6"/>
  <c r="AJ65" i="6"/>
  <c r="AF65" i="6"/>
  <c r="AE65" i="6"/>
  <c r="AA65" i="6"/>
  <c r="Z65" i="6"/>
  <c r="V65" i="6"/>
  <c r="U65" i="6"/>
  <c r="Q65" i="6"/>
  <c r="P65" i="6"/>
  <c r="L65" i="6"/>
  <c r="K65" i="6"/>
  <c r="G65" i="6"/>
  <c r="F65" i="6"/>
  <c r="AZ64" i="6"/>
  <c r="AP64" i="6"/>
  <c r="AO64" i="6"/>
  <c r="AK64" i="6"/>
  <c r="AJ64" i="6"/>
  <c r="AA64" i="6"/>
  <c r="Z64" i="6"/>
  <c r="V64" i="6"/>
  <c r="U64" i="6"/>
  <c r="Q64" i="6"/>
  <c r="P64" i="6"/>
  <c r="L64" i="6"/>
  <c r="K64" i="6"/>
  <c r="G64" i="6"/>
  <c r="F64" i="6"/>
  <c r="AU63" i="6"/>
  <c r="AT63" i="6"/>
  <c r="AP63" i="6"/>
  <c r="AO63" i="6"/>
  <c r="AK63" i="6"/>
  <c r="AJ63" i="6"/>
  <c r="AF63" i="6"/>
  <c r="AE63" i="6"/>
  <c r="AA63" i="6"/>
  <c r="Z63" i="6"/>
  <c r="V63" i="6"/>
  <c r="U63" i="6"/>
  <c r="Q63" i="6"/>
  <c r="P63" i="6"/>
  <c r="L63" i="6"/>
  <c r="K63" i="6"/>
  <c r="G63" i="6"/>
  <c r="F63" i="6"/>
  <c r="BD62" i="6"/>
  <c r="AZ62" i="6"/>
  <c r="AU62" i="6"/>
  <c r="AT62" i="6"/>
  <c r="AP62" i="6"/>
  <c r="AO62" i="6"/>
  <c r="AK62" i="6"/>
  <c r="AJ62" i="6"/>
  <c r="AA62" i="6"/>
  <c r="Z62" i="6"/>
  <c r="V62" i="6"/>
  <c r="U62" i="6"/>
  <c r="Q62" i="6"/>
  <c r="P62" i="6"/>
  <c r="L62" i="6"/>
  <c r="K62" i="6"/>
  <c r="G62" i="6"/>
  <c r="F62" i="6"/>
  <c r="BD61" i="6"/>
  <c r="AZ61" i="6"/>
  <c r="AU61" i="6"/>
  <c r="AT61" i="6"/>
  <c r="AP61" i="6"/>
  <c r="AO61" i="6"/>
  <c r="AK61" i="6"/>
  <c r="AJ61" i="6"/>
  <c r="AA61" i="6"/>
  <c r="Z61" i="6"/>
  <c r="V61" i="6"/>
  <c r="U61" i="6"/>
  <c r="Q61" i="6"/>
  <c r="P61" i="6"/>
  <c r="L61" i="6"/>
  <c r="K61" i="6"/>
  <c r="G61" i="6"/>
  <c r="F61" i="6"/>
  <c r="AK58" i="6"/>
  <c r="AJ58" i="6"/>
  <c r="V58" i="6"/>
  <c r="U58" i="6"/>
  <c r="L58" i="6"/>
  <c r="K58" i="6"/>
  <c r="G58" i="6"/>
  <c r="AU56" i="6"/>
  <c r="AT56" i="6"/>
  <c r="AP56" i="6"/>
  <c r="AO56" i="6"/>
  <c r="AK56" i="6"/>
  <c r="AJ56" i="6"/>
  <c r="AF56" i="6"/>
  <c r="AE56" i="6"/>
  <c r="V56" i="6"/>
  <c r="U56" i="6"/>
  <c r="Q56" i="6"/>
  <c r="P56" i="6"/>
  <c r="L56" i="6"/>
  <c r="K56" i="6"/>
  <c r="G56" i="6"/>
  <c r="F56" i="6"/>
  <c r="AU55" i="6"/>
  <c r="AT55" i="6"/>
  <c r="AP55" i="6"/>
  <c r="AO55" i="6"/>
  <c r="AK55" i="6"/>
  <c r="AJ55" i="6"/>
  <c r="AF55" i="6"/>
  <c r="AE55" i="6"/>
  <c r="AA55" i="6"/>
  <c r="Z55" i="6"/>
  <c r="V55" i="6"/>
  <c r="U55" i="6"/>
  <c r="Q55" i="6"/>
  <c r="P55" i="6"/>
  <c r="L55" i="6"/>
  <c r="K55" i="6"/>
  <c r="G55" i="6"/>
  <c r="F55" i="6"/>
  <c r="AP54" i="6"/>
  <c r="AO54" i="6"/>
  <c r="AK54" i="6"/>
  <c r="AJ54" i="6"/>
  <c r="AF54" i="6"/>
  <c r="AE54" i="6"/>
  <c r="AA54" i="6"/>
  <c r="Z54" i="6"/>
  <c r="V54" i="6"/>
  <c r="U54" i="6"/>
  <c r="Q54" i="6"/>
  <c r="P54" i="6"/>
  <c r="L54" i="6"/>
  <c r="K54" i="6"/>
  <c r="G54" i="6"/>
  <c r="F54" i="6"/>
  <c r="AK53" i="6"/>
  <c r="AJ53" i="6"/>
  <c r="V53" i="6"/>
  <c r="U53" i="6"/>
  <c r="Q53" i="6"/>
  <c r="P53" i="6"/>
  <c r="L53" i="6"/>
  <c r="K53" i="6"/>
  <c r="AU52" i="6"/>
  <c r="AT52" i="6"/>
  <c r="AP52" i="6"/>
  <c r="AO52" i="6"/>
  <c r="AK52" i="6"/>
  <c r="AJ52" i="6"/>
  <c r="AF52" i="6"/>
  <c r="AE52" i="6"/>
  <c r="AA52" i="6"/>
  <c r="Z52" i="6"/>
  <c r="V52" i="6"/>
  <c r="U52" i="6"/>
  <c r="Q52" i="6"/>
  <c r="P52" i="6"/>
  <c r="L52" i="6"/>
  <c r="K52" i="6"/>
  <c r="G52" i="6"/>
  <c r="F52" i="6"/>
  <c r="AU51" i="6"/>
  <c r="AT51" i="6"/>
  <c r="AP51" i="6"/>
  <c r="AO51" i="6"/>
  <c r="AK51" i="6"/>
  <c r="AJ51" i="6"/>
  <c r="AF51" i="6"/>
  <c r="AE51" i="6"/>
  <c r="AA51" i="6"/>
  <c r="Z51" i="6"/>
  <c r="V51" i="6"/>
  <c r="Q51" i="6"/>
  <c r="P51" i="6"/>
  <c r="L51" i="6"/>
  <c r="K51" i="6"/>
  <c r="G51" i="6"/>
  <c r="F51" i="6"/>
  <c r="AU50" i="6"/>
  <c r="AT50" i="6"/>
  <c r="AP50" i="6"/>
  <c r="AO50" i="6"/>
  <c r="AK50" i="6"/>
  <c r="AJ50" i="6"/>
  <c r="AF50" i="6"/>
  <c r="AE50" i="6"/>
  <c r="AA50" i="6"/>
  <c r="Z50" i="6"/>
  <c r="V50" i="6"/>
  <c r="U50" i="6"/>
  <c r="Q50" i="6"/>
  <c r="P50" i="6"/>
  <c r="L50" i="6"/>
  <c r="K50" i="6"/>
  <c r="G50" i="6"/>
  <c r="F50" i="6"/>
  <c r="AU49" i="6"/>
  <c r="AT49" i="6"/>
  <c r="AP49" i="6"/>
  <c r="AO49" i="6"/>
  <c r="AK49" i="6"/>
  <c r="AJ49" i="6"/>
  <c r="AA49" i="6"/>
  <c r="Z49" i="6"/>
  <c r="V49" i="6"/>
  <c r="U49" i="6"/>
  <c r="Q49" i="6"/>
  <c r="P49" i="6"/>
  <c r="L49" i="6"/>
  <c r="K49" i="6"/>
  <c r="G49" i="6"/>
  <c r="F49" i="6"/>
  <c r="AU48" i="6"/>
  <c r="AT48" i="6"/>
  <c r="AP48" i="6"/>
  <c r="AO48" i="6"/>
  <c r="AK48" i="6"/>
  <c r="AJ48" i="6"/>
  <c r="AF48" i="6"/>
  <c r="AE48" i="6"/>
  <c r="AA48" i="6"/>
  <c r="Z48" i="6"/>
  <c r="V48" i="6"/>
  <c r="U48" i="6"/>
  <c r="Q48" i="6"/>
  <c r="P48" i="6"/>
  <c r="L48" i="6"/>
  <c r="K48" i="6"/>
  <c r="G48" i="6"/>
  <c r="F48" i="6"/>
  <c r="AT47" i="6"/>
  <c r="AP47" i="6"/>
  <c r="AO47" i="6"/>
  <c r="AK47" i="6"/>
  <c r="AJ47" i="6"/>
  <c r="AA47" i="6"/>
  <c r="Z47" i="6"/>
  <c r="V47" i="6"/>
  <c r="U47" i="6"/>
  <c r="Q47" i="6"/>
  <c r="P47" i="6"/>
  <c r="L47" i="6"/>
  <c r="K47" i="6"/>
  <c r="G47" i="6"/>
  <c r="F47" i="6"/>
  <c r="AZ46" i="6"/>
  <c r="AU46" i="6"/>
  <c r="AT46" i="6"/>
  <c r="AP46" i="6"/>
  <c r="AO46" i="6"/>
  <c r="AK46" i="6"/>
  <c r="AJ46" i="6"/>
  <c r="AF46" i="6"/>
  <c r="AE46" i="6"/>
  <c r="AA46" i="6"/>
  <c r="Z46" i="6"/>
  <c r="Q46" i="6"/>
  <c r="P46" i="6"/>
  <c r="L46" i="6"/>
  <c r="K46" i="6"/>
  <c r="G46" i="6"/>
  <c r="F46" i="6"/>
  <c r="AP45" i="6"/>
  <c r="AO45" i="6"/>
  <c r="AK45" i="6"/>
  <c r="AJ45" i="6"/>
  <c r="AA45" i="6"/>
  <c r="Z45" i="6"/>
  <c r="Q45" i="6"/>
  <c r="P45" i="6"/>
  <c r="L45" i="6"/>
  <c r="K45" i="6"/>
  <c r="G45" i="6"/>
  <c r="F45" i="6"/>
  <c r="AU44" i="6"/>
  <c r="AT44" i="6"/>
  <c r="AP44" i="6"/>
  <c r="AO44" i="6"/>
  <c r="AK44" i="6"/>
  <c r="AJ44" i="6"/>
  <c r="AA44" i="6"/>
  <c r="Z44" i="6"/>
  <c r="V44" i="6"/>
  <c r="U44" i="6"/>
  <c r="Q44" i="6"/>
  <c r="P44" i="6"/>
  <c r="L44" i="6"/>
  <c r="K44" i="6"/>
  <c r="G44" i="6"/>
  <c r="F44" i="6"/>
  <c r="AK43" i="6"/>
  <c r="AJ43" i="6"/>
  <c r="Q43" i="6"/>
  <c r="P43" i="6"/>
  <c r="L43" i="6"/>
  <c r="K43" i="6"/>
  <c r="G43" i="6"/>
  <c r="F43" i="6"/>
  <c r="AP40" i="6"/>
  <c r="AO40" i="6"/>
  <c r="AK40" i="6"/>
  <c r="AJ40" i="6"/>
  <c r="Q40" i="6"/>
  <c r="P40" i="6"/>
  <c r="L40" i="6"/>
  <c r="K40" i="6"/>
  <c r="G40" i="6"/>
  <c r="F40" i="6"/>
  <c r="AP38" i="6"/>
  <c r="AO38" i="6"/>
  <c r="Q38" i="6"/>
  <c r="P38" i="6"/>
  <c r="L38" i="6"/>
  <c r="K38" i="6"/>
  <c r="G38" i="6"/>
  <c r="F38" i="6"/>
  <c r="AP37" i="6"/>
  <c r="AO37" i="6"/>
  <c r="AF37" i="6"/>
  <c r="AE37" i="6"/>
  <c r="Q37" i="6"/>
  <c r="P37" i="6"/>
  <c r="L37" i="6"/>
  <c r="K37" i="6"/>
  <c r="G37" i="6"/>
  <c r="F37" i="6"/>
  <c r="AU36" i="6"/>
  <c r="AT36" i="6"/>
  <c r="AP36" i="6"/>
  <c r="AO36" i="6"/>
  <c r="AK36" i="6"/>
  <c r="AJ36" i="6"/>
  <c r="AE36" i="6"/>
  <c r="AA36" i="6"/>
  <c r="Z36" i="6"/>
  <c r="V36" i="6"/>
  <c r="U36" i="6"/>
  <c r="Q36" i="6"/>
  <c r="P36" i="6"/>
  <c r="L36" i="6"/>
  <c r="K36" i="6"/>
  <c r="G36" i="6"/>
  <c r="F36" i="6"/>
  <c r="AZ35" i="6"/>
  <c r="AU35" i="6"/>
  <c r="AT35" i="6"/>
  <c r="AP35" i="6"/>
  <c r="AO35" i="6"/>
  <c r="AK35" i="6"/>
  <c r="AJ35" i="6"/>
  <c r="V35" i="6"/>
  <c r="U35" i="6"/>
  <c r="Q35" i="6"/>
  <c r="P35" i="6"/>
  <c r="L35" i="6"/>
  <c r="K35" i="6"/>
  <c r="G35" i="6"/>
  <c r="F35" i="6"/>
  <c r="AU34" i="6"/>
  <c r="AT34" i="6"/>
  <c r="AP34" i="6"/>
  <c r="AO34" i="6"/>
  <c r="AK34" i="6"/>
  <c r="AJ34" i="6"/>
  <c r="AF34" i="6"/>
  <c r="AE34" i="6"/>
  <c r="V34" i="6"/>
  <c r="U34" i="6"/>
  <c r="Q34" i="6"/>
  <c r="P34" i="6"/>
  <c r="L34" i="6"/>
  <c r="K34" i="6"/>
  <c r="G34" i="6"/>
  <c r="F34" i="6"/>
  <c r="AU33" i="6"/>
  <c r="AT33" i="6"/>
  <c r="AP33" i="6"/>
  <c r="AO33" i="6"/>
  <c r="AK33" i="6"/>
  <c r="AJ33" i="6"/>
  <c r="AF33" i="6"/>
  <c r="AE33" i="6"/>
  <c r="V33" i="6"/>
  <c r="U33" i="6"/>
  <c r="Q33" i="6"/>
  <c r="P33" i="6"/>
  <c r="L33" i="6"/>
  <c r="K33" i="6"/>
  <c r="G33" i="6"/>
  <c r="F33" i="6"/>
  <c r="AU32" i="6"/>
  <c r="AT32" i="6"/>
  <c r="AP32" i="6"/>
  <c r="AO32" i="6"/>
  <c r="AK32" i="6"/>
  <c r="AJ32" i="6"/>
  <c r="AF32" i="6"/>
  <c r="AE32" i="6"/>
  <c r="Q32" i="6"/>
  <c r="P32" i="6"/>
  <c r="L32" i="6"/>
  <c r="K32" i="6"/>
  <c r="G32" i="6"/>
  <c r="F32" i="6"/>
  <c r="AU31" i="6"/>
  <c r="AT31" i="6"/>
  <c r="AP31" i="6"/>
  <c r="AO31" i="6"/>
  <c r="AK31" i="6"/>
  <c r="AJ31" i="6"/>
  <c r="AF31" i="6"/>
  <c r="AE31" i="6"/>
  <c r="AA31" i="6"/>
  <c r="Z31" i="6"/>
  <c r="Q31" i="6"/>
  <c r="P31" i="6"/>
  <c r="L31" i="6"/>
  <c r="K31" i="6"/>
  <c r="G31" i="6"/>
  <c r="F31" i="6"/>
  <c r="AK30" i="6"/>
  <c r="AJ30" i="6"/>
  <c r="AA30" i="6"/>
  <c r="Z30" i="6"/>
  <c r="Q30" i="6"/>
  <c r="P30" i="6"/>
  <c r="G30" i="6"/>
  <c r="F30" i="6"/>
  <c r="AU29" i="6"/>
  <c r="AT29" i="6"/>
  <c r="AP29" i="6"/>
  <c r="AO29" i="6"/>
  <c r="AK29" i="6"/>
  <c r="AJ29" i="6"/>
  <c r="AA29" i="6"/>
  <c r="Z29" i="6"/>
  <c r="V29" i="6"/>
  <c r="U29" i="6"/>
  <c r="Q29" i="6"/>
  <c r="P29" i="6"/>
  <c r="L29" i="6"/>
  <c r="K29" i="6"/>
  <c r="G29" i="6"/>
  <c r="F29" i="6"/>
  <c r="AK26" i="6"/>
  <c r="AJ26" i="6"/>
  <c r="V26" i="6"/>
  <c r="Q26" i="6"/>
  <c r="L26" i="6"/>
  <c r="G26" i="6"/>
  <c r="F26" i="6"/>
  <c r="AP25" i="6"/>
  <c r="AO25" i="6"/>
  <c r="AK25" i="6"/>
  <c r="AJ25" i="6"/>
  <c r="AA25" i="6"/>
  <c r="Z25" i="6"/>
  <c r="Q25" i="6"/>
  <c r="P25" i="6"/>
  <c r="L25" i="6"/>
  <c r="K25" i="6"/>
  <c r="G25" i="6"/>
  <c r="F25" i="6"/>
  <c r="AZ24" i="6"/>
  <c r="AU24" i="6"/>
  <c r="AT24" i="6"/>
  <c r="AP24" i="6"/>
  <c r="AO24" i="6"/>
  <c r="AK24" i="6"/>
  <c r="AJ24" i="6"/>
  <c r="AF24" i="6"/>
  <c r="AE24" i="6"/>
  <c r="AA24" i="6"/>
  <c r="Z24" i="6"/>
  <c r="V24" i="6"/>
  <c r="U24" i="6"/>
  <c r="Q24" i="6"/>
  <c r="P24" i="6"/>
  <c r="L24" i="6"/>
  <c r="K24" i="6"/>
  <c r="G24" i="6"/>
  <c r="F24" i="6"/>
  <c r="BJ22" i="6"/>
  <c r="BI22" i="6"/>
  <c r="AU22" i="6"/>
  <c r="AT22" i="6"/>
  <c r="AP22" i="6"/>
  <c r="AO22" i="6"/>
  <c r="AK22" i="6"/>
  <c r="AJ22" i="6"/>
  <c r="AF22" i="6"/>
  <c r="AE22" i="6"/>
  <c r="AA22" i="6"/>
  <c r="Z22" i="6"/>
  <c r="V22" i="6"/>
  <c r="U22" i="6"/>
  <c r="Q22" i="6"/>
  <c r="P22" i="6"/>
  <c r="L22" i="6"/>
  <c r="K22" i="6"/>
  <c r="G22" i="6"/>
  <c r="F22" i="6"/>
  <c r="AU21" i="6"/>
  <c r="AT21" i="6"/>
  <c r="AP21" i="6"/>
  <c r="AO21" i="6"/>
  <c r="AK21" i="6"/>
  <c r="AJ21" i="6"/>
  <c r="AF21" i="6"/>
  <c r="AE21" i="6"/>
  <c r="AA21" i="6"/>
  <c r="Z21" i="6"/>
  <c r="V21" i="6"/>
  <c r="U21" i="6"/>
  <c r="Q21" i="6"/>
  <c r="P21" i="6"/>
  <c r="L21" i="6"/>
  <c r="K21" i="6"/>
  <c r="G21" i="6"/>
  <c r="F21" i="6"/>
  <c r="AP18" i="6"/>
  <c r="AO18" i="6"/>
  <c r="AK18" i="6"/>
  <c r="AJ18" i="6"/>
  <c r="AA18" i="6"/>
  <c r="Z18" i="6"/>
  <c r="V18" i="6"/>
  <c r="Q18" i="6"/>
  <c r="P18" i="6"/>
  <c r="L18" i="6"/>
  <c r="K18" i="6"/>
  <c r="G18" i="6"/>
  <c r="F18" i="6"/>
  <c r="AU17" i="6"/>
  <c r="AT17" i="6"/>
  <c r="AP17" i="6"/>
  <c r="AO17" i="6"/>
  <c r="AK17" i="6"/>
  <c r="AJ17" i="6"/>
  <c r="AA17" i="6"/>
  <c r="Z17" i="6"/>
  <c r="V17" i="6"/>
  <c r="U17" i="6"/>
  <c r="Q17" i="6"/>
  <c r="P17" i="6"/>
  <c r="L17" i="6"/>
  <c r="K17" i="6"/>
  <c r="G17" i="6"/>
  <c r="F17" i="6"/>
  <c r="AP15" i="6"/>
  <c r="AO15" i="6"/>
  <c r="AK15" i="6"/>
  <c r="AJ15" i="6"/>
  <c r="AA15" i="6"/>
  <c r="Z15" i="6"/>
  <c r="V15" i="6"/>
  <c r="U15" i="6"/>
  <c r="Q15" i="6"/>
  <c r="P15" i="6"/>
  <c r="L15" i="6"/>
  <c r="K15" i="6"/>
  <c r="AP14" i="6"/>
  <c r="AO14" i="6"/>
  <c r="AK14" i="6"/>
  <c r="AJ14" i="6"/>
  <c r="AA14" i="6"/>
  <c r="Z14" i="6"/>
  <c r="V14" i="6"/>
  <c r="U14" i="6"/>
  <c r="Q14" i="6"/>
  <c r="P14" i="6"/>
  <c r="L14" i="6"/>
  <c r="K14" i="6"/>
  <c r="AP13" i="6"/>
  <c r="AO13" i="6"/>
  <c r="AA13" i="6"/>
  <c r="Z13" i="6"/>
  <c r="Q13" i="6"/>
  <c r="P13" i="6"/>
  <c r="L13" i="6"/>
  <c r="K13" i="6"/>
  <c r="AU12" i="6"/>
  <c r="AT12" i="6"/>
  <c r="AP12" i="6"/>
  <c r="AO12" i="6"/>
  <c r="AK12" i="6"/>
  <c r="AJ12" i="6"/>
  <c r="AF12" i="6"/>
  <c r="AE12" i="6"/>
  <c r="AA12" i="6"/>
  <c r="Z12" i="6"/>
  <c r="V12" i="6"/>
  <c r="U12" i="6"/>
  <c r="Q12" i="6"/>
  <c r="P12" i="6"/>
  <c r="L12" i="6"/>
  <c r="K12" i="6"/>
  <c r="G12" i="6"/>
  <c r="F12" i="6"/>
  <c r="AP11" i="6"/>
  <c r="AO11" i="6"/>
  <c r="Q11" i="6"/>
  <c r="P11" i="6"/>
  <c r="L11" i="6"/>
  <c r="K11" i="6"/>
  <c r="AP10" i="6"/>
  <c r="AO10" i="6"/>
  <c r="AA10" i="6"/>
  <c r="Z10" i="6"/>
  <c r="Q10" i="6"/>
  <c r="P10" i="6"/>
  <c r="K10" i="6"/>
  <c r="Q9" i="6"/>
  <c r="P9" i="6"/>
  <c r="BJ7" i="6"/>
  <c r="BI7" i="6"/>
  <c r="AU7" i="6"/>
  <c r="AT7" i="6"/>
  <c r="AP7" i="6"/>
  <c r="AO7" i="6"/>
  <c r="AK7" i="6"/>
  <c r="AJ7" i="6"/>
  <c r="AF7" i="6"/>
  <c r="AE7" i="6"/>
  <c r="AA7" i="6"/>
  <c r="Z7" i="6"/>
  <c r="V7" i="6"/>
  <c r="U7" i="6"/>
  <c r="Q7" i="6"/>
  <c r="P7" i="6"/>
  <c r="L7" i="6"/>
  <c r="K7" i="6"/>
  <c r="G7" i="6"/>
  <c r="F7" i="6"/>
  <c r="BE6" i="6"/>
  <c r="AU6" i="6"/>
  <c r="AT6" i="6"/>
  <c r="AP6" i="6"/>
  <c r="AO6" i="6"/>
  <c r="AK6" i="6"/>
  <c r="AJ6" i="6"/>
  <c r="AA6" i="6"/>
  <c r="Z6" i="6"/>
  <c r="V6" i="6"/>
  <c r="U6" i="6"/>
  <c r="Q6" i="6"/>
  <c r="P6" i="6"/>
  <c r="L6" i="6"/>
  <c r="K6" i="6"/>
  <c r="G6" i="6"/>
  <c r="F6" i="6"/>
  <c r="K340" i="5"/>
  <c r="J340" i="5"/>
  <c r="I340" i="5"/>
  <c r="H340" i="5"/>
  <c r="G340" i="5"/>
  <c r="F340" i="5"/>
  <c r="K338" i="5"/>
  <c r="J338" i="5"/>
  <c r="I338" i="5"/>
  <c r="H338" i="5"/>
  <c r="G338" i="5"/>
  <c r="F338" i="5"/>
  <c r="K336" i="5"/>
  <c r="J336" i="5"/>
  <c r="I336" i="5"/>
  <c r="H336" i="5"/>
  <c r="G336" i="5"/>
  <c r="F336" i="5"/>
  <c r="K335" i="5"/>
  <c r="J335" i="5"/>
  <c r="I335" i="5"/>
  <c r="H335" i="5"/>
  <c r="G335" i="5"/>
  <c r="F335" i="5"/>
  <c r="K327" i="5"/>
  <c r="J327" i="5"/>
  <c r="I327" i="5"/>
  <c r="H327" i="5"/>
  <c r="G327" i="5"/>
  <c r="F327" i="5"/>
  <c r="K326" i="5"/>
  <c r="J326" i="5"/>
  <c r="G326" i="5"/>
  <c r="F326" i="5"/>
  <c r="I325" i="5"/>
  <c r="H325" i="5"/>
  <c r="G325" i="5"/>
  <c r="F325" i="5"/>
  <c r="I323" i="5"/>
  <c r="H323" i="5"/>
  <c r="G323" i="5"/>
  <c r="F323" i="5"/>
  <c r="I321" i="5"/>
  <c r="H321" i="5"/>
  <c r="G321" i="5"/>
  <c r="F321" i="5"/>
  <c r="K318" i="5"/>
  <c r="J318" i="5"/>
  <c r="I318" i="5"/>
  <c r="H318" i="5"/>
  <c r="G318" i="5"/>
  <c r="F318" i="5"/>
  <c r="I316" i="5"/>
  <c r="H316" i="5"/>
  <c r="G316" i="5"/>
  <c r="F316" i="5"/>
  <c r="K315" i="5"/>
  <c r="J315" i="5"/>
  <c r="I315" i="5"/>
  <c r="H315" i="5"/>
  <c r="G315" i="5"/>
  <c r="F315" i="5"/>
  <c r="I312" i="5"/>
  <c r="H312" i="5"/>
  <c r="G312" i="5"/>
  <c r="F312" i="5"/>
  <c r="K311" i="5"/>
  <c r="J311" i="5"/>
  <c r="I311" i="5"/>
  <c r="H311" i="5"/>
  <c r="G311" i="5"/>
  <c r="F311" i="5"/>
  <c r="K309" i="5"/>
  <c r="J309" i="5"/>
  <c r="I309" i="5"/>
  <c r="H309" i="5"/>
  <c r="G309" i="5"/>
  <c r="F309" i="5"/>
  <c r="K303" i="5"/>
  <c r="J303" i="5"/>
  <c r="I303" i="5"/>
  <c r="H303" i="5"/>
  <c r="K299" i="5"/>
  <c r="J299" i="5"/>
  <c r="I299" i="5"/>
  <c r="H299" i="5"/>
  <c r="G299" i="5"/>
  <c r="F299" i="5"/>
  <c r="I297" i="5"/>
  <c r="H297" i="5"/>
  <c r="G297" i="5"/>
  <c r="F297" i="5"/>
  <c r="I293" i="5"/>
  <c r="H293" i="5"/>
  <c r="G293" i="5"/>
  <c r="F293" i="5"/>
  <c r="K289" i="5"/>
  <c r="J289" i="5"/>
  <c r="I289" i="5"/>
  <c r="H289" i="5"/>
  <c r="G289" i="5"/>
  <c r="F289" i="5"/>
  <c r="K288" i="5"/>
  <c r="J288" i="5"/>
  <c r="I288" i="5"/>
  <c r="H288" i="5"/>
  <c r="G288" i="5"/>
  <c r="F288" i="5"/>
  <c r="K285" i="5"/>
  <c r="J285" i="5"/>
  <c r="I285" i="5"/>
  <c r="H285" i="5"/>
  <c r="G285" i="5"/>
  <c r="F285" i="5"/>
  <c r="I282" i="5"/>
  <c r="H282" i="5"/>
  <c r="G282" i="5"/>
  <c r="F282" i="5"/>
  <c r="I276" i="5"/>
  <c r="H276" i="5"/>
  <c r="G276" i="5"/>
  <c r="F276" i="5"/>
  <c r="K275" i="5"/>
  <c r="J275" i="5"/>
  <c r="I275" i="5"/>
  <c r="H275" i="5"/>
  <c r="G275" i="5"/>
  <c r="F275" i="5"/>
  <c r="I272" i="5"/>
  <c r="H272" i="5"/>
  <c r="G272" i="5"/>
  <c r="F272" i="5"/>
  <c r="K269" i="5"/>
  <c r="J269" i="5"/>
  <c r="I269" i="5"/>
  <c r="H269" i="5"/>
  <c r="G269" i="5"/>
  <c r="F269" i="5"/>
  <c r="I265" i="5"/>
  <c r="H265" i="5"/>
  <c r="G265" i="5"/>
  <c r="F265" i="5"/>
  <c r="K261" i="5"/>
  <c r="J261" i="5"/>
  <c r="I261" i="5"/>
  <c r="H261" i="5"/>
  <c r="G261" i="5"/>
  <c r="F261" i="5"/>
  <c r="K249" i="5"/>
  <c r="J249" i="5"/>
  <c r="G249" i="5"/>
  <c r="F249" i="5"/>
  <c r="K242" i="5"/>
  <c r="J242" i="5"/>
  <c r="I242" i="5"/>
  <c r="H242" i="5"/>
  <c r="G242" i="5"/>
  <c r="F242" i="5"/>
  <c r="K241" i="5"/>
  <c r="J241" i="5"/>
  <c r="I241" i="5"/>
  <c r="H241" i="5"/>
  <c r="G241" i="5"/>
  <c r="F241" i="5"/>
  <c r="K232" i="5"/>
  <c r="J232" i="5"/>
  <c r="I232" i="5"/>
  <c r="H232" i="5"/>
  <c r="G232" i="5"/>
  <c r="F232" i="5"/>
  <c r="K226" i="5"/>
  <c r="J226" i="5"/>
  <c r="I226" i="5"/>
  <c r="H226" i="5"/>
  <c r="G226" i="5"/>
  <c r="F226" i="5"/>
  <c r="K225" i="5"/>
  <c r="J225" i="5"/>
  <c r="I225" i="5"/>
  <c r="H225" i="5"/>
  <c r="G225" i="5"/>
  <c r="F225" i="5"/>
  <c r="K224" i="5"/>
  <c r="J224" i="5"/>
  <c r="I224" i="5"/>
  <c r="H224" i="5"/>
  <c r="G224" i="5"/>
  <c r="F224" i="5"/>
  <c r="K222" i="5"/>
  <c r="J222" i="5"/>
  <c r="I222" i="5"/>
  <c r="H222" i="5"/>
  <c r="G222" i="5"/>
  <c r="F222" i="5"/>
  <c r="K221" i="5"/>
  <c r="J221" i="5"/>
  <c r="I221" i="5"/>
  <c r="H221" i="5"/>
  <c r="G221" i="5"/>
  <c r="F221" i="5"/>
  <c r="K219" i="5"/>
  <c r="J219" i="5"/>
  <c r="I219" i="5"/>
  <c r="H219" i="5"/>
  <c r="G219" i="5"/>
  <c r="F219" i="5"/>
  <c r="K217" i="5"/>
  <c r="J217" i="5"/>
  <c r="I217" i="5"/>
  <c r="H217" i="5"/>
  <c r="G217" i="5"/>
  <c r="F217" i="5"/>
  <c r="K214" i="5"/>
  <c r="J214" i="5"/>
  <c r="I214" i="5"/>
  <c r="H214" i="5"/>
  <c r="G214" i="5"/>
  <c r="F214" i="5"/>
  <c r="K213" i="5"/>
  <c r="J213" i="5"/>
  <c r="I213" i="5"/>
  <c r="H213" i="5"/>
  <c r="G213" i="5"/>
  <c r="F213" i="5"/>
  <c r="K212" i="5"/>
  <c r="J212" i="5"/>
  <c r="I212" i="5"/>
  <c r="H212" i="5"/>
  <c r="G212" i="5"/>
  <c r="F212" i="5"/>
  <c r="K211" i="5"/>
  <c r="J211" i="5"/>
  <c r="I211" i="5"/>
  <c r="H211" i="5"/>
  <c r="G211" i="5"/>
  <c r="F211" i="5"/>
  <c r="I210" i="5"/>
  <c r="H210" i="5"/>
  <c r="G210" i="5"/>
  <c r="F210" i="5"/>
  <c r="K209" i="5"/>
  <c r="J209" i="5"/>
  <c r="I209" i="5"/>
  <c r="H209" i="5"/>
  <c r="G209" i="5"/>
  <c r="F209" i="5"/>
  <c r="K207" i="5"/>
  <c r="J207" i="5"/>
  <c r="I207" i="5"/>
  <c r="H207" i="5"/>
  <c r="G207" i="5"/>
  <c r="F207" i="5"/>
  <c r="K204" i="5"/>
  <c r="J204" i="5"/>
  <c r="I204" i="5"/>
  <c r="H204" i="5"/>
  <c r="G204" i="5"/>
  <c r="F204" i="5"/>
  <c r="K203" i="5"/>
  <c r="J203" i="5"/>
  <c r="I203" i="5"/>
  <c r="H203" i="5"/>
  <c r="G203" i="5"/>
  <c r="F203" i="5"/>
  <c r="K202" i="5"/>
  <c r="J202" i="5"/>
  <c r="I202" i="5"/>
  <c r="H202" i="5"/>
  <c r="G202" i="5"/>
  <c r="F202" i="5"/>
  <c r="K201" i="5"/>
  <c r="J201" i="5"/>
  <c r="I201" i="5"/>
  <c r="H201" i="5"/>
  <c r="G201" i="5"/>
  <c r="F201" i="5"/>
  <c r="K199" i="5"/>
  <c r="J199" i="5"/>
  <c r="I199" i="5"/>
  <c r="H199" i="5"/>
  <c r="G199" i="5"/>
  <c r="F199" i="5"/>
  <c r="K198" i="5"/>
  <c r="J198" i="5"/>
  <c r="I198" i="5"/>
  <c r="H198" i="5"/>
  <c r="G198" i="5"/>
  <c r="F198" i="5"/>
  <c r="K197" i="5"/>
  <c r="J197" i="5"/>
  <c r="I197" i="5"/>
  <c r="H197" i="5"/>
  <c r="G197" i="5"/>
  <c r="F197" i="5"/>
  <c r="K195" i="5"/>
  <c r="J195" i="5"/>
  <c r="I195" i="5"/>
  <c r="H195" i="5"/>
  <c r="G195" i="5"/>
  <c r="F195" i="5"/>
  <c r="K194" i="5"/>
  <c r="J194" i="5"/>
  <c r="I194" i="5"/>
  <c r="H194" i="5"/>
  <c r="G194" i="5"/>
  <c r="F194" i="5"/>
  <c r="K192" i="5"/>
  <c r="J192" i="5"/>
  <c r="I192" i="5"/>
  <c r="H192" i="5"/>
  <c r="G192" i="5"/>
  <c r="F192" i="5"/>
  <c r="K191" i="5"/>
  <c r="J191" i="5"/>
  <c r="I191" i="5"/>
  <c r="H191" i="5"/>
  <c r="G191" i="5"/>
  <c r="F191" i="5"/>
  <c r="K190" i="5"/>
  <c r="J190" i="5"/>
  <c r="I190" i="5"/>
  <c r="H190" i="5"/>
  <c r="G190" i="5"/>
  <c r="F190" i="5"/>
  <c r="K189" i="5"/>
  <c r="J189" i="5"/>
  <c r="I189" i="5"/>
  <c r="H189" i="5"/>
  <c r="G189" i="5"/>
  <c r="F189" i="5"/>
  <c r="K186" i="5"/>
  <c r="J186" i="5"/>
  <c r="I186" i="5"/>
  <c r="H186" i="5"/>
  <c r="G186" i="5"/>
  <c r="F186" i="5"/>
  <c r="K185" i="5"/>
  <c r="J185" i="5"/>
  <c r="I185" i="5"/>
  <c r="H185" i="5"/>
  <c r="G185" i="5"/>
  <c r="F185" i="5"/>
  <c r="K183" i="5"/>
  <c r="J183" i="5"/>
  <c r="I183" i="5"/>
  <c r="H183" i="5"/>
  <c r="G183" i="5"/>
  <c r="F183" i="5"/>
  <c r="K182" i="5"/>
  <c r="J182" i="5"/>
  <c r="I182" i="5"/>
  <c r="H182" i="5"/>
  <c r="G182" i="5"/>
  <c r="F182" i="5"/>
  <c r="K181" i="5"/>
  <c r="J181" i="5"/>
  <c r="I181" i="5"/>
  <c r="H181" i="5"/>
  <c r="G181" i="5"/>
  <c r="F181" i="5"/>
  <c r="K180" i="5"/>
  <c r="J180" i="5"/>
  <c r="I180" i="5"/>
  <c r="H180" i="5"/>
  <c r="G180" i="5"/>
  <c r="F180" i="5"/>
  <c r="K179" i="5"/>
  <c r="J179" i="5"/>
  <c r="I179" i="5"/>
  <c r="H179" i="5"/>
  <c r="G179" i="5"/>
  <c r="F179" i="5"/>
  <c r="K178" i="5"/>
  <c r="J178" i="5"/>
  <c r="I178" i="5"/>
  <c r="H178" i="5"/>
  <c r="G178" i="5"/>
  <c r="F178" i="5"/>
  <c r="I177" i="5"/>
  <c r="H177" i="5"/>
  <c r="G177" i="5"/>
  <c r="F177" i="5"/>
  <c r="K176" i="5"/>
  <c r="J176" i="5"/>
  <c r="I176" i="5"/>
  <c r="H176" i="5"/>
  <c r="G176" i="5"/>
  <c r="F176" i="5"/>
  <c r="K175" i="5"/>
  <c r="J175" i="5"/>
  <c r="I175" i="5"/>
  <c r="H175" i="5"/>
  <c r="G175" i="5"/>
  <c r="F175" i="5"/>
  <c r="K174" i="5"/>
  <c r="J174" i="5"/>
  <c r="I174" i="5"/>
  <c r="H174" i="5"/>
  <c r="G174" i="5"/>
  <c r="F174" i="5"/>
  <c r="K173" i="5"/>
  <c r="J173" i="5"/>
  <c r="I173" i="5"/>
  <c r="H173" i="5"/>
  <c r="G173" i="5"/>
  <c r="F173" i="5"/>
  <c r="K172" i="5"/>
  <c r="J172" i="5"/>
  <c r="I172" i="5"/>
  <c r="H172" i="5"/>
  <c r="G172" i="5"/>
  <c r="F172" i="5"/>
  <c r="K171" i="5"/>
  <c r="J171" i="5"/>
  <c r="I171" i="5"/>
  <c r="H171" i="5"/>
  <c r="G171" i="5"/>
  <c r="F171" i="5"/>
  <c r="K169" i="5"/>
  <c r="J169" i="5"/>
  <c r="I169" i="5"/>
  <c r="H169" i="5"/>
  <c r="G169" i="5"/>
  <c r="F169" i="5"/>
  <c r="K168" i="5"/>
  <c r="J168" i="5"/>
  <c r="I168" i="5"/>
  <c r="H168" i="5"/>
  <c r="G168" i="5"/>
  <c r="F168" i="5"/>
  <c r="K167" i="5"/>
  <c r="J167" i="5"/>
  <c r="I167" i="5"/>
  <c r="H167" i="5"/>
  <c r="G167" i="5"/>
  <c r="F167" i="5"/>
  <c r="K166" i="5"/>
  <c r="J166" i="5"/>
  <c r="I166" i="5"/>
  <c r="H166" i="5"/>
  <c r="G166" i="5"/>
  <c r="F166" i="5"/>
  <c r="K165" i="5"/>
  <c r="J165" i="5"/>
  <c r="I165" i="5"/>
  <c r="H165" i="5"/>
  <c r="G165" i="5"/>
  <c r="F165" i="5"/>
  <c r="K164" i="5"/>
  <c r="J164" i="5"/>
  <c r="I164" i="5"/>
  <c r="H164" i="5"/>
  <c r="G164" i="5"/>
  <c r="F164" i="5"/>
  <c r="K163" i="5"/>
  <c r="J163" i="5"/>
  <c r="I163" i="5"/>
  <c r="H163" i="5"/>
  <c r="G163" i="5"/>
  <c r="F163" i="5"/>
  <c r="K162" i="5"/>
  <c r="J162" i="5"/>
  <c r="I162" i="5"/>
  <c r="H162" i="5"/>
  <c r="G162" i="5"/>
  <c r="F162" i="5"/>
  <c r="K161" i="5"/>
  <c r="J161" i="5"/>
  <c r="I161" i="5"/>
  <c r="H161" i="5"/>
  <c r="G161" i="5"/>
  <c r="F161" i="5"/>
  <c r="K160" i="5"/>
  <c r="J160" i="5"/>
  <c r="I160" i="5"/>
  <c r="H160" i="5"/>
  <c r="G160" i="5"/>
  <c r="F160" i="5"/>
  <c r="K159" i="5"/>
  <c r="J159" i="5"/>
  <c r="I159" i="5"/>
  <c r="H159" i="5"/>
  <c r="G159" i="5"/>
  <c r="F159" i="5"/>
  <c r="K158" i="5"/>
  <c r="J158" i="5"/>
  <c r="I158" i="5"/>
  <c r="H158" i="5"/>
  <c r="G158" i="5"/>
  <c r="F158" i="5"/>
  <c r="K157" i="5"/>
  <c r="J157" i="5"/>
  <c r="I157" i="5"/>
  <c r="H157" i="5"/>
  <c r="G157" i="5"/>
  <c r="F157" i="5"/>
  <c r="K156" i="5"/>
  <c r="J156" i="5"/>
  <c r="I156" i="5"/>
  <c r="H156" i="5"/>
  <c r="G156" i="5"/>
  <c r="F156" i="5"/>
  <c r="K155" i="5"/>
  <c r="J155" i="5"/>
  <c r="I155" i="5"/>
  <c r="H155" i="5"/>
  <c r="G155" i="5"/>
  <c r="F155" i="5"/>
  <c r="K154" i="5"/>
  <c r="J154" i="5"/>
  <c r="I154" i="5"/>
  <c r="H154" i="5"/>
  <c r="G154" i="5"/>
  <c r="F154" i="5"/>
  <c r="K151" i="5"/>
  <c r="J151" i="5"/>
  <c r="I151" i="5"/>
  <c r="H151" i="5"/>
  <c r="G151" i="5"/>
  <c r="F151" i="5"/>
  <c r="K149" i="5"/>
  <c r="J149" i="5"/>
  <c r="I149" i="5"/>
  <c r="H149" i="5"/>
  <c r="G149" i="5"/>
  <c r="F149" i="5"/>
  <c r="I148" i="5"/>
  <c r="H148" i="5"/>
  <c r="G148" i="5"/>
  <c r="F148" i="5"/>
  <c r="K147" i="5"/>
  <c r="J147" i="5"/>
  <c r="I147" i="5"/>
  <c r="H147" i="5"/>
  <c r="G147" i="5"/>
  <c r="F147" i="5"/>
  <c r="K146" i="5"/>
  <c r="J146" i="5"/>
  <c r="I146" i="5"/>
  <c r="H146" i="5"/>
  <c r="G146" i="5"/>
  <c r="F146" i="5"/>
  <c r="K145" i="5"/>
  <c r="J145" i="5"/>
  <c r="I145" i="5"/>
  <c r="H145" i="5"/>
  <c r="G145" i="5"/>
  <c r="F145" i="5"/>
  <c r="K144" i="5"/>
  <c r="J144" i="5"/>
  <c r="I144" i="5"/>
  <c r="H144" i="5"/>
  <c r="G144" i="5"/>
  <c r="F144" i="5"/>
  <c r="K143" i="5"/>
  <c r="J143" i="5"/>
  <c r="I143" i="5"/>
  <c r="H143" i="5"/>
  <c r="G143" i="5"/>
  <c r="F143" i="5"/>
  <c r="K142" i="5"/>
  <c r="J142" i="5"/>
  <c r="I142" i="5"/>
  <c r="H142" i="5"/>
  <c r="G142" i="5"/>
  <c r="F142" i="5"/>
  <c r="K141" i="5"/>
  <c r="J141" i="5"/>
  <c r="I141" i="5"/>
  <c r="H141" i="5"/>
  <c r="G141" i="5"/>
  <c r="F141" i="5"/>
  <c r="K140" i="5"/>
  <c r="J140" i="5"/>
  <c r="I140" i="5"/>
  <c r="H140" i="5"/>
  <c r="G140" i="5"/>
  <c r="F140" i="5"/>
  <c r="K138" i="5"/>
  <c r="J138" i="5"/>
  <c r="I138" i="5"/>
  <c r="H138" i="5"/>
  <c r="K137" i="5"/>
  <c r="J137" i="5"/>
  <c r="I137" i="5"/>
  <c r="H137" i="5"/>
  <c r="G137" i="5"/>
  <c r="F137" i="5"/>
  <c r="K136" i="5"/>
  <c r="J136" i="5"/>
  <c r="I136" i="5"/>
  <c r="H136" i="5"/>
  <c r="G136" i="5"/>
  <c r="F136" i="5"/>
  <c r="K135" i="5"/>
  <c r="J135" i="5"/>
  <c r="I135" i="5"/>
  <c r="H135" i="5"/>
  <c r="G135" i="5"/>
  <c r="F135" i="5"/>
  <c r="K133" i="5"/>
  <c r="J133" i="5"/>
  <c r="I133" i="5"/>
  <c r="H133" i="5"/>
  <c r="G133" i="5"/>
  <c r="F133" i="5"/>
  <c r="K132" i="5"/>
  <c r="J132" i="5"/>
  <c r="I132" i="5"/>
  <c r="H132" i="5"/>
  <c r="G132" i="5"/>
  <c r="F132" i="5"/>
  <c r="K129" i="5"/>
  <c r="J129" i="5"/>
  <c r="I129" i="5"/>
  <c r="H129" i="5"/>
  <c r="G129" i="5"/>
  <c r="F129" i="5"/>
  <c r="K128" i="5"/>
  <c r="J128" i="5"/>
  <c r="I128" i="5"/>
  <c r="H128" i="5"/>
  <c r="G128" i="5"/>
  <c r="F128" i="5"/>
  <c r="K127" i="5"/>
  <c r="J127" i="5"/>
  <c r="I127" i="5"/>
  <c r="H127" i="5"/>
  <c r="G127" i="5"/>
  <c r="F127" i="5"/>
  <c r="K126" i="5"/>
  <c r="J126" i="5"/>
  <c r="I126" i="5"/>
  <c r="H126" i="5"/>
  <c r="G126" i="5"/>
  <c r="F126" i="5"/>
  <c r="K125" i="5"/>
  <c r="J125" i="5"/>
  <c r="I125" i="5"/>
  <c r="H125" i="5"/>
  <c r="G125" i="5"/>
  <c r="F125" i="5"/>
  <c r="K124" i="5"/>
  <c r="J124" i="5"/>
  <c r="I124" i="5"/>
  <c r="H124" i="5"/>
  <c r="G124" i="5"/>
  <c r="F124" i="5"/>
  <c r="K123" i="5"/>
  <c r="J123" i="5"/>
  <c r="I123" i="5"/>
  <c r="H123" i="5"/>
  <c r="G123" i="5"/>
  <c r="F123" i="5"/>
  <c r="K122" i="5"/>
  <c r="J122" i="5"/>
  <c r="I122" i="5"/>
  <c r="H122" i="5"/>
  <c r="G122" i="5"/>
  <c r="F122" i="5"/>
  <c r="K121" i="5"/>
  <c r="J121" i="5"/>
  <c r="I121" i="5"/>
  <c r="H121" i="5"/>
  <c r="G121" i="5"/>
  <c r="F121" i="5"/>
  <c r="K120" i="5"/>
  <c r="J120" i="5"/>
  <c r="I120" i="5"/>
  <c r="H120" i="5"/>
  <c r="G120" i="5"/>
  <c r="F120" i="5"/>
  <c r="K118" i="5"/>
  <c r="J118" i="5"/>
  <c r="I118" i="5"/>
  <c r="H118" i="5"/>
  <c r="G118" i="5"/>
  <c r="F118" i="5"/>
  <c r="K117" i="5"/>
  <c r="J117" i="5"/>
  <c r="I117" i="5"/>
  <c r="H117" i="5"/>
  <c r="G117" i="5"/>
  <c r="F117" i="5"/>
  <c r="K112" i="5"/>
  <c r="J112" i="5"/>
  <c r="I112" i="5"/>
  <c r="H112" i="5"/>
  <c r="G112" i="5"/>
  <c r="F112" i="5"/>
  <c r="K111" i="5"/>
  <c r="J111" i="5"/>
  <c r="I111" i="5"/>
  <c r="H111" i="5"/>
  <c r="G111" i="5"/>
  <c r="F111" i="5"/>
  <c r="K110" i="5"/>
  <c r="J110" i="5"/>
  <c r="I110" i="5"/>
  <c r="H110" i="5"/>
  <c r="G110" i="5"/>
  <c r="F110" i="5"/>
  <c r="K108" i="5"/>
  <c r="J108" i="5"/>
  <c r="I108" i="5"/>
  <c r="H108" i="5"/>
  <c r="G108" i="5"/>
  <c r="F108" i="5"/>
  <c r="K107" i="5"/>
  <c r="J107" i="5"/>
  <c r="I107" i="5"/>
  <c r="H107" i="5"/>
  <c r="G107" i="5"/>
  <c r="F107" i="5"/>
  <c r="K106" i="5"/>
  <c r="J106" i="5"/>
  <c r="I106" i="5"/>
  <c r="H106" i="5"/>
  <c r="G106" i="5"/>
  <c r="F106" i="5"/>
  <c r="K105" i="5"/>
  <c r="J105" i="5"/>
  <c r="I105" i="5"/>
  <c r="H105" i="5"/>
  <c r="G105" i="5"/>
  <c r="F105" i="5"/>
  <c r="K103" i="5"/>
  <c r="J103" i="5"/>
  <c r="I103" i="5"/>
  <c r="H103" i="5"/>
  <c r="G103" i="5"/>
  <c r="F103" i="5"/>
  <c r="K100" i="5"/>
  <c r="J100" i="5"/>
  <c r="I100" i="5"/>
  <c r="H100" i="5"/>
  <c r="G100" i="5"/>
  <c r="F100" i="5"/>
  <c r="K99" i="5"/>
  <c r="J99" i="5"/>
  <c r="I99" i="5"/>
  <c r="H99" i="5"/>
  <c r="G99" i="5"/>
  <c r="F99" i="5"/>
  <c r="K97" i="5"/>
  <c r="J97" i="5"/>
  <c r="I97" i="5"/>
  <c r="H97" i="5"/>
  <c r="G97" i="5"/>
  <c r="F97" i="5"/>
  <c r="K96" i="5"/>
  <c r="J96" i="5"/>
  <c r="I96" i="5"/>
  <c r="H96" i="5"/>
  <c r="G96" i="5"/>
  <c r="F96" i="5"/>
  <c r="K95" i="5"/>
  <c r="J95" i="5"/>
  <c r="I95" i="5"/>
  <c r="H95" i="5"/>
  <c r="G95" i="5"/>
  <c r="F95" i="5"/>
  <c r="K93" i="5"/>
  <c r="J93" i="5"/>
  <c r="I93" i="5"/>
  <c r="H93" i="5"/>
  <c r="G93" i="5"/>
  <c r="F93" i="5"/>
  <c r="K90" i="5"/>
  <c r="J90" i="5"/>
  <c r="I90" i="5"/>
  <c r="H90" i="5"/>
  <c r="G90" i="5"/>
  <c r="F90" i="5"/>
  <c r="K89" i="5"/>
  <c r="J89" i="5"/>
  <c r="I89" i="5"/>
  <c r="H89" i="5"/>
  <c r="G89" i="5"/>
  <c r="F89" i="5"/>
  <c r="K88" i="5"/>
  <c r="J88" i="5"/>
  <c r="I88" i="5"/>
  <c r="H88" i="5"/>
  <c r="G88" i="5"/>
  <c r="F88" i="5"/>
  <c r="K87" i="5"/>
  <c r="J87" i="5"/>
  <c r="I87" i="5"/>
  <c r="H87" i="5"/>
  <c r="G87" i="5"/>
  <c r="F87" i="5"/>
  <c r="K85" i="5"/>
  <c r="J85" i="5"/>
  <c r="I85" i="5"/>
  <c r="H85" i="5"/>
  <c r="G85" i="5"/>
  <c r="F85" i="5"/>
  <c r="K84" i="5"/>
  <c r="J84" i="5"/>
  <c r="I84" i="5"/>
  <c r="H84" i="5"/>
  <c r="G84" i="5"/>
  <c r="F84" i="5"/>
  <c r="K83" i="5"/>
  <c r="J83" i="5"/>
  <c r="I83" i="5"/>
  <c r="H83" i="5"/>
  <c r="G83" i="5"/>
  <c r="F83" i="5"/>
  <c r="K80" i="5"/>
  <c r="J80" i="5"/>
  <c r="I80" i="5"/>
  <c r="H80" i="5"/>
  <c r="G80" i="5"/>
  <c r="F80" i="5"/>
  <c r="K78" i="5"/>
  <c r="J78" i="5"/>
  <c r="I78" i="5"/>
  <c r="H78" i="5"/>
  <c r="G78" i="5"/>
  <c r="F78" i="5"/>
  <c r="K77" i="5"/>
  <c r="J77" i="5"/>
  <c r="I77" i="5"/>
  <c r="H77" i="5"/>
  <c r="G77" i="5"/>
  <c r="F77" i="5"/>
  <c r="I76" i="5"/>
  <c r="H76" i="5"/>
  <c r="G76" i="5"/>
  <c r="F76" i="5"/>
  <c r="K75" i="5"/>
  <c r="J75" i="5"/>
  <c r="I75" i="5"/>
  <c r="H75" i="5"/>
  <c r="G75" i="5"/>
  <c r="F75" i="5"/>
  <c r="K72" i="5"/>
  <c r="J72" i="5"/>
  <c r="I72" i="5"/>
  <c r="H72" i="5"/>
  <c r="G72" i="5"/>
  <c r="F72" i="5"/>
  <c r="K71" i="5"/>
  <c r="J71" i="5"/>
  <c r="I71" i="5"/>
  <c r="H71" i="5"/>
  <c r="G71" i="5"/>
  <c r="F71" i="5"/>
  <c r="K69" i="5"/>
  <c r="J69" i="5"/>
  <c r="I69" i="5"/>
  <c r="H69" i="5"/>
  <c r="G69" i="5"/>
  <c r="F69" i="5"/>
  <c r="K68" i="5"/>
  <c r="J68" i="5"/>
  <c r="I68" i="5"/>
  <c r="H68" i="5"/>
  <c r="G68" i="5"/>
  <c r="F68" i="5"/>
  <c r="K67" i="5"/>
  <c r="J67" i="5"/>
  <c r="I67" i="5"/>
  <c r="H67" i="5"/>
  <c r="G67" i="5"/>
  <c r="F67" i="5"/>
  <c r="K66" i="5"/>
  <c r="J66" i="5"/>
  <c r="I66" i="5"/>
  <c r="H66" i="5"/>
  <c r="G66" i="5"/>
  <c r="F66" i="5"/>
  <c r="K65" i="5"/>
  <c r="J65" i="5"/>
  <c r="I65" i="5"/>
  <c r="H65" i="5"/>
  <c r="G65" i="5"/>
  <c r="F65" i="5"/>
  <c r="K64" i="5"/>
  <c r="J64" i="5"/>
  <c r="I64" i="5"/>
  <c r="H64" i="5"/>
  <c r="G64" i="5"/>
  <c r="F64" i="5"/>
  <c r="I63" i="5"/>
  <c r="H63" i="5"/>
  <c r="G63" i="5"/>
  <c r="F63" i="5"/>
  <c r="K62" i="5"/>
  <c r="J62" i="5"/>
  <c r="I62" i="5"/>
  <c r="H62" i="5"/>
  <c r="G62" i="5"/>
  <c r="F62" i="5"/>
  <c r="K61" i="5"/>
  <c r="J61" i="5"/>
  <c r="I61" i="5"/>
  <c r="H61" i="5"/>
  <c r="G61" i="5"/>
  <c r="F61" i="5"/>
  <c r="K60" i="5"/>
  <c r="J60" i="5"/>
  <c r="I60" i="5"/>
  <c r="H60" i="5"/>
  <c r="G60" i="5"/>
  <c r="F60" i="5"/>
  <c r="K59" i="5"/>
  <c r="J59" i="5"/>
  <c r="I59" i="5"/>
  <c r="H59" i="5"/>
  <c r="G59" i="5"/>
  <c r="F59" i="5"/>
  <c r="K58" i="5"/>
  <c r="J58" i="5"/>
  <c r="I58" i="5"/>
  <c r="H58" i="5"/>
  <c r="G58" i="5"/>
  <c r="F58" i="5"/>
  <c r="K55" i="5"/>
  <c r="J55" i="5"/>
  <c r="I55" i="5"/>
  <c r="H55" i="5"/>
  <c r="G55" i="5"/>
  <c r="F55" i="5"/>
  <c r="K53" i="5"/>
  <c r="J53" i="5"/>
  <c r="I53" i="5"/>
  <c r="H53" i="5"/>
  <c r="G53" i="5"/>
  <c r="F53" i="5"/>
  <c r="K52" i="5"/>
  <c r="J52" i="5"/>
  <c r="I52" i="5"/>
  <c r="H52" i="5"/>
  <c r="G52" i="5"/>
  <c r="F52" i="5"/>
  <c r="K51" i="5"/>
  <c r="J51" i="5"/>
  <c r="I51" i="5"/>
  <c r="H51" i="5"/>
  <c r="G51" i="5"/>
  <c r="F51" i="5"/>
  <c r="K50" i="5"/>
  <c r="J50" i="5"/>
  <c r="I50" i="5"/>
  <c r="H50" i="5"/>
  <c r="G50" i="5"/>
  <c r="F50" i="5"/>
  <c r="K49" i="5"/>
  <c r="J49" i="5"/>
  <c r="I49" i="5"/>
  <c r="H49" i="5"/>
  <c r="G49" i="5"/>
  <c r="F49" i="5"/>
  <c r="K48" i="5"/>
  <c r="J48" i="5"/>
  <c r="I48" i="5"/>
  <c r="H48" i="5"/>
  <c r="G48" i="5"/>
  <c r="F48" i="5"/>
  <c r="K47" i="5"/>
  <c r="J47" i="5"/>
  <c r="I47" i="5"/>
  <c r="H47" i="5"/>
  <c r="G47" i="5"/>
  <c r="F47" i="5"/>
  <c r="K46" i="5"/>
  <c r="J46" i="5"/>
  <c r="I46" i="5"/>
  <c r="H46" i="5"/>
  <c r="G46" i="5"/>
  <c r="F46" i="5"/>
  <c r="K45" i="5"/>
  <c r="J45" i="5"/>
  <c r="I45" i="5"/>
  <c r="H45" i="5"/>
  <c r="G45" i="5"/>
  <c r="F45" i="5"/>
  <c r="K44" i="5"/>
  <c r="J44" i="5"/>
  <c r="I44" i="5"/>
  <c r="H44" i="5"/>
  <c r="G44" i="5"/>
  <c r="F44" i="5"/>
  <c r="K43" i="5"/>
  <c r="J43" i="5"/>
  <c r="I43" i="5"/>
  <c r="H43" i="5"/>
  <c r="G43" i="5"/>
  <c r="F43" i="5"/>
  <c r="K42" i="5"/>
  <c r="J42" i="5"/>
  <c r="I42" i="5"/>
  <c r="H42" i="5"/>
  <c r="G42" i="5"/>
  <c r="F42" i="5"/>
  <c r="K41" i="5"/>
  <c r="J41" i="5"/>
  <c r="I41" i="5"/>
  <c r="H41" i="5"/>
  <c r="G41" i="5"/>
  <c r="F41" i="5"/>
  <c r="I40" i="5"/>
  <c r="H40" i="5"/>
  <c r="G40" i="5"/>
  <c r="F40" i="5"/>
  <c r="K37" i="5"/>
  <c r="J37" i="5"/>
  <c r="I37" i="5"/>
  <c r="H37" i="5"/>
  <c r="G37" i="5"/>
  <c r="F37" i="5"/>
  <c r="K35" i="5"/>
  <c r="J35" i="5"/>
  <c r="I35" i="5"/>
  <c r="H35" i="5"/>
  <c r="G35" i="5"/>
  <c r="F35" i="5"/>
  <c r="I34" i="5"/>
  <c r="H34" i="5"/>
  <c r="G34" i="5"/>
  <c r="F34" i="5"/>
  <c r="K33" i="5"/>
  <c r="J33" i="5"/>
  <c r="I33" i="5"/>
  <c r="H33" i="5"/>
  <c r="G33" i="5"/>
  <c r="F33" i="5"/>
  <c r="K32" i="5"/>
  <c r="J32" i="5"/>
  <c r="I32" i="5"/>
  <c r="H32" i="5"/>
  <c r="G32" i="5"/>
  <c r="F32" i="5"/>
  <c r="K31" i="5"/>
  <c r="J31" i="5"/>
  <c r="I31" i="5"/>
  <c r="H31" i="5"/>
  <c r="G31" i="5"/>
  <c r="F31" i="5"/>
  <c r="K30" i="5"/>
  <c r="J30" i="5"/>
  <c r="I30" i="5"/>
  <c r="H30" i="5"/>
  <c r="G30" i="5"/>
  <c r="F30" i="5"/>
  <c r="K29" i="5"/>
  <c r="J29" i="5"/>
  <c r="I29" i="5"/>
  <c r="H29" i="5"/>
  <c r="G29" i="5"/>
  <c r="F29" i="5"/>
  <c r="K28" i="5"/>
  <c r="J28" i="5"/>
  <c r="I28" i="5"/>
  <c r="H28" i="5"/>
  <c r="G28" i="5"/>
  <c r="F28" i="5"/>
  <c r="I27" i="5"/>
  <c r="H27" i="5"/>
  <c r="G27" i="5"/>
  <c r="F27" i="5"/>
  <c r="K26" i="5"/>
  <c r="J26" i="5"/>
  <c r="I26" i="5"/>
  <c r="H26" i="5"/>
  <c r="G26" i="5"/>
  <c r="F26" i="5"/>
  <c r="K23" i="5"/>
  <c r="J23" i="5"/>
  <c r="I23" i="5"/>
  <c r="H23" i="5"/>
  <c r="G23" i="5"/>
  <c r="F23" i="5"/>
  <c r="I22" i="5"/>
  <c r="H22" i="5"/>
  <c r="G22" i="5"/>
  <c r="F22" i="5"/>
  <c r="K21" i="5"/>
  <c r="J21" i="5"/>
  <c r="I21" i="5"/>
  <c r="H21" i="5"/>
  <c r="G21" i="5"/>
  <c r="F21" i="5"/>
  <c r="K19" i="5"/>
  <c r="J19" i="5"/>
  <c r="I19" i="5"/>
  <c r="H19" i="5"/>
  <c r="G19" i="5"/>
  <c r="F19" i="5"/>
  <c r="K18" i="5"/>
  <c r="J18" i="5"/>
  <c r="I18" i="5"/>
  <c r="H18" i="5"/>
  <c r="G18" i="5"/>
  <c r="F18" i="5"/>
  <c r="K15" i="5"/>
  <c r="J15" i="5"/>
  <c r="I15" i="5"/>
  <c r="H15" i="5"/>
  <c r="G15" i="5"/>
  <c r="F15" i="5"/>
  <c r="K14" i="5"/>
  <c r="J14" i="5"/>
  <c r="I14" i="5"/>
  <c r="H14" i="5"/>
  <c r="G14" i="5"/>
  <c r="F14" i="5"/>
  <c r="K12" i="5"/>
  <c r="J12" i="5"/>
  <c r="I12" i="5"/>
  <c r="H12" i="5"/>
  <c r="G12" i="5"/>
  <c r="F12" i="5"/>
  <c r="K11" i="5"/>
  <c r="J11" i="5"/>
  <c r="I11" i="5"/>
  <c r="H11" i="5"/>
  <c r="G11" i="5"/>
  <c r="F11" i="5"/>
  <c r="K10" i="5"/>
  <c r="J10" i="5"/>
  <c r="I10" i="5"/>
  <c r="H10" i="5"/>
  <c r="G10" i="5"/>
  <c r="F10" i="5"/>
  <c r="K9" i="5"/>
  <c r="J9" i="5"/>
  <c r="I9" i="5"/>
  <c r="H9" i="5"/>
  <c r="G9" i="5"/>
  <c r="F9" i="5"/>
  <c r="I8" i="5"/>
  <c r="H8" i="5"/>
  <c r="G8" i="5"/>
  <c r="F8" i="5"/>
  <c r="K7" i="5"/>
  <c r="J7" i="5"/>
  <c r="I7" i="5"/>
  <c r="H7" i="5"/>
  <c r="G7" i="5"/>
  <c r="F7" i="5"/>
  <c r="K6" i="5"/>
  <c r="J6" i="5"/>
  <c r="I6" i="5"/>
  <c r="H6" i="5"/>
  <c r="G6" i="5"/>
  <c r="F6" i="5"/>
  <c r="K4" i="5"/>
  <c r="J4" i="5"/>
  <c r="I4" i="5"/>
  <c r="H4" i="5"/>
  <c r="G4" i="5"/>
  <c r="F4" i="5"/>
  <c r="K3" i="5"/>
  <c r="J3" i="5"/>
  <c r="I3" i="5"/>
  <c r="H3" i="5"/>
  <c r="G3" i="5"/>
  <c r="F3" i="5"/>
  <c r="D15" i="2"/>
  <c r="L15" i="2"/>
  <c r="L14" i="2"/>
  <c r="L13" i="2"/>
  <c r="L11" i="2"/>
  <c r="L10" i="2"/>
  <c r="L9" i="2"/>
  <c r="L7" i="2"/>
  <c r="L6" i="2"/>
  <c r="L5" i="2"/>
  <c r="K15" i="2"/>
  <c r="K14" i="2"/>
  <c r="K13" i="2"/>
  <c r="K11" i="2"/>
  <c r="K10" i="2"/>
  <c r="K9" i="2"/>
  <c r="K7" i="2"/>
  <c r="K6" i="2"/>
  <c r="K5" i="2"/>
  <c r="G15" i="2"/>
  <c r="G11" i="2"/>
  <c r="G7" i="2"/>
  <c r="F15" i="2"/>
  <c r="F11" i="2"/>
  <c r="F7" i="2"/>
  <c r="E15" i="2"/>
  <c r="E14" i="2"/>
  <c r="E11" i="2"/>
  <c r="E10" i="2"/>
  <c r="E7" i="2"/>
  <c r="E6" i="2"/>
  <c r="D14" i="2"/>
  <c r="D11" i="2"/>
  <c r="D10" i="2"/>
  <c r="D7" i="2"/>
  <c r="D6" i="2"/>
  <c r="J1351" i="7"/>
  <c r="I1351" i="7"/>
  <c r="H1351" i="7"/>
  <c r="AX1349" i="7"/>
  <c r="AW1349" i="7"/>
  <c r="AV1349" i="7"/>
  <c r="AS1349" i="7"/>
  <c r="AR1349" i="7"/>
  <c r="AQ1349" i="7"/>
  <c r="AD1349" i="7"/>
  <c r="AC1349" i="7"/>
  <c r="AB1349" i="7"/>
  <c r="Y1349" i="7"/>
  <c r="X1349" i="7"/>
  <c r="W1349" i="7"/>
  <c r="T1349" i="7"/>
  <c r="S1349" i="7"/>
  <c r="R1349" i="7"/>
  <c r="O1349" i="7"/>
  <c r="N1349" i="7"/>
  <c r="M1349" i="7"/>
  <c r="J1349" i="7"/>
  <c r="I1349" i="7"/>
  <c r="H1349" i="7"/>
  <c r="E1349" i="7"/>
  <c r="D1349" i="7"/>
  <c r="C1349" i="7"/>
  <c r="J1348" i="7"/>
  <c r="I1348" i="7"/>
  <c r="H1348" i="7"/>
  <c r="E1348" i="7"/>
  <c r="D1348" i="7"/>
  <c r="C1348" i="7"/>
  <c r="J1346" i="7"/>
  <c r="I1346" i="7"/>
  <c r="H1346" i="7"/>
  <c r="BC1345" i="7"/>
  <c r="BB1345" i="7"/>
  <c r="BA1345" i="7"/>
  <c r="AS1345" i="7"/>
  <c r="AR1345" i="7"/>
  <c r="AQ1345" i="7"/>
  <c r="J1345" i="7"/>
  <c r="I1345" i="7"/>
  <c r="H1345" i="7"/>
  <c r="J1340" i="7"/>
  <c r="I1340" i="7"/>
  <c r="H1340" i="7"/>
  <c r="BB1338" i="7"/>
  <c r="AW1338" i="7"/>
  <c r="AV1338" i="7"/>
  <c r="AS1338" i="7"/>
  <c r="AR1338" i="7"/>
  <c r="AQ1338" i="7"/>
  <c r="AI1338" i="7"/>
  <c r="AD1338" i="7"/>
  <c r="X1338" i="7"/>
  <c r="W1338" i="7"/>
  <c r="T1338" i="7"/>
  <c r="S1338" i="7"/>
  <c r="R1338" i="7"/>
  <c r="O1338" i="7"/>
  <c r="N1338" i="7"/>
  <c r="M1338" i="7"/>
  <c r="J1338" i="7"/>
  <c r="I1338" i="7"/>
  <c r="H1338" i="7"/>
  <c r="E1338" i="7"/>
  <c r="D1338" i="7"/>
  <c r="C1338" i="7"/>
  <c r="BC1336" i="7"/>
  <c r="BB1336" i="7"/>
  <c r="BA1336" i="7"/>
  <c r="O1336" i="7"/>
  <c r="N1336" i="7"/>
  <c r="M1336" i="7"/>
  <c r="J1336" i="7"/>
  <c r="I1336" i="7"/>
  <c r="H1336" i="7"/>
  <c r="T1333" i="7"/>
  <c r="S1333" i="7"/>
  <c r="R1333" i="7"/>
  <c r="E1333" i="7"/>
  <c r="D1333" i="7"/>
  <c r="C1333" i="7"/>
  <c r="AS1332" i="7"/>
  <c r="AR1332" i="7"/>
  <c r="AQ1332" i="7"/>
  <c r="AC1332" i="7"/>
  <c r="AB1332" i="7"/>
  <c r="T1332" i="7"/>
  <c r="O1332" i="7"/>
  <c r="N1332" i="7"/>
  <c r="M1332" i="7"/>
  <c r="J1332" i="7"/>
  <c r="I1332" i="7"/>
  <c r="H1332" i="7"/>
  <c r="AC1331" i="7"/>
  <c r="AB1331" i="7"/>
  <c r="O1331" i="7"/>
  <c r="J1328" i="7"/>
  <c r="I1328" i="7"/>
  <c r="H1328" i="7"/>
  <c r="BC1323" i="7"/>
  <c r="BB1323" i="7"/>
  <c r="BA1323" i="7"/>
  <c r="AS1323" i="7"/>
  <c r="AR1323" i="7"/>
  <c r="AQ1323" i="7"/>
  <c r="AI1323" i="7"/>
  <c r="AH1323" i="7"/>
  <c r="AG1323" i="7"/>
  <c r="Y1323" i="7"/>
  <c r="X1323" i="7"/>
  <c r="W1323" i="7"/>
  <c r="T1323" i="7"/>
  <c r="S1323" i="7"/>
  <c r="R1323" i="7"/>
  <c r="O1323" i="7"/>
  <c r="N1323" i="7"/>
  <c r="M1323" i="7"/>
  <c r="J1323" i="7"/>
  <c r="I1323" i="7"/>
  <c r="H1323" i="7"/>
  <c r="E1323" i="7"/>
  <c r="D1323" i="7"/>
  <c r="C1323" i="7"/>
  <c r="AI1321" i="7"/>
  <c r="AH1321" i="7"/>
  <c r="AG1321" i="7"/>
  <c r="J1321" i="7"/>
  <c r="I1321" i="7"/>
  <c r="H1321" i="7"/>
  <c r="E1321" i="7"/>
  <c r="D1321" i="7"/>
  <c r="C1321" i="7"/>
  <c r="BC1319" i="7"/>
  <c r="BB1319" i="7"/>
  <c r="BA1319" i="7"/>
  <c r="AS1319" i="7"/>
  <c r="AR1319" i="7"/>
  <c r="AQ1319" i="7"/>
  <c r="AI1319" i="7"/>
  <c r="AH1319" i="7"/>
  <c r="AG1319" i="7"/>
  <c r="AD1319" i="7"/>
  <c r="AC1319" i="7"/>
  <c r="AB1319" i="7"/>
  <c r="Y1319" i="7"/>
  <c r="X1319" i="7"/>
  <c r="W1319" i="7"/>
  <c r="T1319" i="7"/>
  <c r="S1319" i="7"/>
  <c r="R1319" i="7"/>
  <c r="O1319" i="7"/>
  <c r="N1319" i="7"/>
  <c r="M1319" i="7"/>
  <c r="J1319" i="7"/>
  <c r="I1319" i="7"/>
  <c r="H1319" i="7"/>
  <c r="E1319" i="7"/>
  <c r="D1319" i="7"/>
  <c r="C1319" i="7"/>
  <c r="BC1317" i="7"/>
  <c r="BB1317" i="7"/>
  <c r="BA1317" i="7"/>
  <c r="AS1317" i="7"/>
  <c r="AR1317" i="7"/>
  <c r="AQ1317" i="7"/>
  <c r="AI1317" i="7"/>
  <c r="AH1317" i="7"/>
  <c r="AG1317" i="7"/>
  <c r="AD1317" i="7"/>
  <c r="AC1317" i="7"/>
  <c r="Y1317" i="7"/>
  <c r="X1317" i="7"/>
  <c r="W1317" i="7"/>
  <c r="S1317" i="7"/>
  <c r="R1317" i="7"/>
  <c r="O1317" i="7"/>
  <c r="N1317" i="7"/>
  <c r="M1317" i="7"/>
  <c r="J1317" i="7"/>
  <c r="I1317" i="7"/>
  <c r="H1317" i="7"/>
  <c r="E1317" i="7"/>
  <c r="D1317" i="7"/>
  <c r="C1317" i="7"/>
  <c r="BC1310" i="7"/>
  <c r="BB1310" i="7"/>
  <c r="BA1310" i="7"/>
  <c r="J1310" i="7"/>
  <c r="I1310" i="7"/>
  <c r="H1310" i="7"/>
  <c r="BC1308" i="7"/>
  <c r="BB1308" i="7"/>
  <c r="BA1308" i="7"/>
  <c r="AX1308" i="7"/>
  <c r="AW1308" i="7"/>
  <c r="AV1308" i="7"/>
  <c r="AS1308" i="7"/>
  <c r="AR1308" i="7"/>
  <c r="AQ1308" i="7"/>
  <c r="J1308" i="7"/>
  <c r="I1308" i="7"/>
  <c r="H1308" i="7"/>
  <c r="J1306" i="7"/>
  <c r="I1306" i="7"/>
  <c r="H1306" i="7"/>
  <c r="BC1305" i="7"/>
  <c r="BB1305" i="7"/>
  <c r="BA1305" i="7"/>
  <c r="AS1305" i="7"/>
  <c r="AR1305" i="7"/>
  <c r="AQ1305" i="7"/>
  <c r="AN1305" i="7"/>
  <c r="AM1305" i="7"/>
  <c r="AL1305" i="7"/>
  <c r="J1305" i="7"/>
  <c r="I1305" i="7"/>
  <c r="H1305" i="7"/>
  <c r="E1305" i="7"/>
  <c r="D1305" i="7"/>
  <c r="C1305" i="7"/>
  <c r="BC1304" i="7"/>
  <c r="BB1304" i="7"/>
  <c r="BA1304" i="7"/>
  <c r="AX1304" i="7"/>
  <c r="AW1304" i="7"/>
  <c r="AV1304" i="7"/>
  <c r="AS1304" i="7"/>
  <c r="AR1304" i="7"/>
  <c r="AQ1304" i="7"/>
  <c r="J1304" i="7"/>
  <c r="I1304" i="7"/>
  <c r="H1304" i="7"/>
  <c r="AX1302" i="7"/>
  <c r="AW1302" i="7"/>
  <c r="AV1302" i="7"/>
  <c r="AC1302" i="7"/>
  <c r="O1302" i="7"/>
  <c r="M1302" i="7"/>
  <c r="AS1300" i="7"/>
  <c r="AR1300" i="7"/>
  <c r="AQ1300" i="7"/>
  <c r="AI1300" i="7"/>
  <c r="AH1300" i="7"/>
  <c r="AG1300" i="7"/>
  <c r="AD1300" i="7"/>
  <c r="AB1300" i="7"/>
  <c r="T1300" i="7"/>
  <c r="S1300" i="7"/>
  <c r="R1300" i="7"/>
  <c r="O1300" i="7"/>
  <c r="N1300" i="7"/>
  <c r="M1300" i="7"/>
  <c r="J1300" i="7"/>
  <c r="I1300" i="7"/>
  <c r="H1300" i="7"/>
  <c r="J1299" i="7"/>
  <c r="I1299" i="7"/>
  <c r="H1299" i="7"/>
  <c r="J1297" i="7"/>
  <c r="I1297" i="7"/>
  <c r="H1297" i="7"/>
  <c r="M1295" i="7"/>
  <c r="J1295" i="7"/>
  <c r="I1295" i="7"/>
  <c r="H1295" i="7"/>
  <c r="E1295" i="7"/>
  <c r="D1295" i="7"/>
  <c r="C1295" i="7"/>
  <c r="AB1294" i="7"/>
  <c r="Y1294" i="7"/>
  <c r="X1294" i="7"/>
  <c r="W1294" i="7"/>
  <c r="T1294" i="7"/>
  <c r="N1294" i="7"/>
  <c r="BM1292" i="7"/>
  <c r="BL1292" i="7"/>
  <c r="BK1292" i="7"/>
  <c r="AI1292" i="7"/>
  <c r="AH1292" i="7"/>
  <c r="AG1292" i="7"/>
  <c r="AD1292" i="7"/>
  <c r="AC1292" i="7"/>
  <c r="AB1292" i="7"/>
  <c r="T1292" i="7"/>
  <c r="S1292" i="7"/>
  <c r="R1292" i="7"/>
  <c r="O1292" i="7"/>
  <c r="N1292" i="7"/>
  <c r="M1292" i="7"/>
  <c r="J1292" i="7"/>
  <c r="I1292" i="7"/>
  <c r="H1292" i="7"/>
  <c r="E1292" i="7"/>
  <c r="D1292" i="7"/>
  <c r="C1292" i="7"/>
  <c r="BC1291" i="7"/>
  <c r="BB1291" i="7"/>
  <c r="BA1291" i="7"/>
  <c r="AS1291" i="7"/>
  <c r="AR1291" i="7"/>
  <c r="AQ1291" i="7"/>
  <c r="AN1291" i="7"/>
  <c r="AM1291" i="7"/>
  <c r="AL1291" i="7"/>
  <c r="AD1291" i="7"/>
  <c r="AC1291" i="7"/>
  <c r="Y1291" i="7"/>
  <c r="X1291" i="7"/>
  <c r="W1291" i="7"/>
  <c r="T1291" i="7"/>
  <c r="S1291" i="7"/>
  <c r="R1291" i="7"/>
  <c r="O1291" i="7"/>
  <c r="N1291" i="7"/>
  <c r="M1291" i="7"/>
  <c r="J1291" i="7"/>
  <c r="I1291" i="7"/>
  <c r="H1291" i="7"/>
  <c r="E1291" i="7"/>
  <c r="D1291" i="7"/>
  <c r="C1291" i="7"/>
  <c r="BC1289" i="7"/>
  <c r="BA1289" i="7"/>
  <c r="AS1289" i="7"/>
  <c r="AR1289" i="7"/>
  <c r="AQ1289" i="7"/>
  <c r="AI1289" i="7"/>
  <c r="AH1289" i="7"/>
  <c r="AG1289" i="7"/>
  <c r="AD1289" i="7"/>
  <c r="AC1289" i="7"/>
  <c r="AB1289" i="7"/>
  <c r="Y1289" i="7"/>
  <c r="X1289" i="7"/>
  <c r="W1289" i="7"/>
  <c r="T1289" i="7"/>
  <c r="S1289" i="7"/>
  <c r="R1289" i="7"/>
  <c r="O1289" i="7"/>
  <c r="N1289" i="7"/>
  <c r="M1289" i="7"/>
  <c r="J1289" i="7"/>
  <c r="I1289" i="7"/>
  <c r="H1289" i="7"/>
  <c r="E1289" i="7"/>
  <c r="D1289" i="7"/>
  <c r="C1289" i="7"/>
  <c r="BC1287" i="7"/>
  <c r="BB1287" i="7"/>
  <c r="BA1287" i="7"/>
  <c r="J1287" i="7"/>
  <c r="I1287" i="7"/>
  <c r="H1287" i="7"/>
  <c r="BC1286" i="7"/>
  <c r="BB1286" i="7"/>
  <c r="BA1286" i="7"/>
  <c r="AS1286" i="7"/>
  <c r="AR1286" i="7"/>
  <c r="AQ1286" i="7"/>
  <c r="AD1286" i="7"/>
  <c r="AC1286" i="7"/>
  <c r="AB1286" i="7"/>
  <c r="Y1286" i="7"/>
  <c r="X1286" i="7"/>
  <c r="W1286" i="7"/>
  <c r="T1286" i="7"/>
  <c r="S1286" i="7"/>
  <c r="R1286" i="7"/>
  <c r="O1286" i="7"/>
  <c r="N1286" i="7"/>
  <c r="M1286" i="7"/>
  <c r="J1286" i="7"/>
  <c r="I1286" i="7"/>
  <c r="H1286" i="7"/>
  <c r="BC1285" i="7"/>
  <c r="AW1285" i="7"/>
  <c r="AV1285" i="7"/>
  <c r="J1284" i="7"/>
  <c r="I1284" i="7"/>
  <c r="H1284" i="7"/>
  <c r="J1283" i="7"/>
  <c r="I1283" i="7"/>
  <c r="H1283" i="7"/>
  <c r="J1281" i="7"/>
  <c r="I1281" i="7"/>
  <c r="H1281" i="7"/>
  <c r="E1281" i="7"/>
  <c r="D1281" i="7"/>
  <c r="C1281" i="7"/>
  <c r="J1280" i="7"/>
  <c r="I1280" i="7"/>
  <c r="H1280" i="7"/>
  <c r="J1278" i="7"/>
  <c r="I1278" i="7"/>
  <c r="H1278" i="7"/>
  <c r="E1278" i="7"/>
  <c r="D1278" i="7"/>
  <c r="C1278" i="7"/>
  <c r="J1275" i="7"/>
  <c r="I1275" i="7"/>
  <c r="H1275" i="7"/>
  <c r="E1275" i="7"/>
  <c r="D1275" i="7"/>
  <c r="C1275" i="7"/>
  <c r="AD1273" i="7"/>
  <c r="AC1273" i="7"/>
  <c r="N1273" i="7"/>
  <c r="M1273" i="7"/>
  <c r="BC1269" i="7"/>
  <c r="BB1269" i="7"/>
  <c r="BA1269" i="7"/>
  <c r="AS1269" i="7"/>
  <c r="AR1269" i="7"/>
  <c r="AQ1269" i="7"/>
  <c r="AD1269" i="7"/>
  <c r="AC1269" i="7"/>
  <c r="AB1269" i="7"/>
  <c r="Y1269" i="7"/>
  <c r="X1269" i="7"/>
  <c r="W1269" i="7"/>
  <c r="T1269" i="7"/>
  <c r="S1269" i="7"/>
  <c r="R1269" i="7"/>
  <c r="O1269" i="7"/>
  <c r="N1269" i="7"/>
  <c r="M1269" i="7"/>
  <c r="J1269" i="7"/>
  <c r="I1269" i="7"/>
  <c r="H1269" i="7"/>
  <c r="J1265" i="7"/>
  <c r="I1265" i="7"/>
  <c r="H1265" i="7"/>
  <c r="E1265" i="7"/>
  <c r="D1265" i="7"/>
  <c r="C1265" i="7"/>
  <c r="BC1264" i="7"/>
  <c r="BB1264" i="7"/>
  <c r="BA1264" i="7"/>
  <c r="AI1264" i="7"/>
  <c r="AH1264" i="7"/>
  <c r="AG1264" i="7"/>
  <c r="AD1264" i="7"/>
  <c r="T1264" i="7"/>
  <c r="S1264" i="7"/>
  <c r="R1264" i="7"/>
  <c r="O1264" i="7"/>
  <c r="N1264" i="7"/>
  <c r="M1264" i="7"/>
  <c r="J1264" i="7"/>
  <c r="I1264" i="7"/>
  <c r="H1264" i="7"/>
  <c r="E1264" i="7"/>
  <c r="D1264" i="7"/>
  <c r="C1264" i="7"/>
  <c r="J1263" i="7"/>
  <c r="I1263" i="7"/>
  <c r="H1263" i="7"/>
  <c r="AI1262" i="7"/>
  <c r="AH1262" i="7"/>
  <c r="AG1262" i="7"/>
  <c r="J1262" i="7"/>
  <c r="I1262" i="7"/>
  <c r="H1262" i="7"/>
  <c r="AI1261" i="7"/>
  <c r="AH1261" i="7"/>
  <c r="AG1261" i="7"/>
  <c r="O1261" i="7"/>
  <c r="N1261" i="7"/>
  <c r="M1261" i="7"/>
  <c r="J1261" i="7"/>
  <c r="I1261" i="7"/>
  <c r="H1261" i="7"/>
  <c r="E1261" i="7"/>
  <c r="D1261" i="7"/>
  <c r="C1261" i="7"/>
  <c r="E1251" i="7"/>
  <c r="D1251" i="7"/>
  <c r="C1251" i="7"/>
  <c r="J1246" i="7"/>
  <c r="I1246" i="7"/>
  <c r="H1246" i="7"/>
  <c r="J1245" i="7"/>
  <c r="I1245" i="7"/>
  <c r="H1245" i="7"/>
  <c r="AI1243" i="7"/>
  <c r="AH1243" i="7"/>
  <c r="AG1243" i="7"/>
  <c r="J1243" i="7"/>
  <c r="I1243" i="7"/>
  <c r="H1243" i="7"/>
  <c r="E1243" i="7"/>
  <c r="D1243" i="7"/>
  <c r="C1243" i="7"/>
  <c r="J1241" i="7"/>
  <c r="I1241" i="7"/>
  <c r="H1241" i="7"/>
  <c r="AS1239" i="7"/>
  <c r="AR1239" i="7"/>
  <c r="AQ1239" i="7"/>
  <c r="J1239" i="7"/>
  <c r="I1239" i="7"/>
  <c r="H1239" i="7"/>
  <c r="T1235" i="7"/>
  <c r="R1235" i="7"/>
  <c r="O1235" i="7"/>
  <c r="N1235" i="7"/>
  <c r="M1235" i="7"/>
  <c r="J1235" i="7"/>
  <c r="I1235" i="7"/>
  <c r="H1235" i="7"/>
  <c r="E1235" i="7"/>
  <c r="D1235" i="7"/>
  <c r="C1235" i="7"/>
  <c r="J1234" i="7"/>
  <c r="I1234" i="7"/>
  <c r="H1234" i="7"/>
  <c r="J1233" i="7"/>
  <c r="I1233" i="7"/>
  <c r="H1233" i="7"/>
  <c r="BC1232" i="7"/>
  <c r="BB1232" i="7"/>
  <c r="BA1232" i="7"/>
  <c r="J1232" i="7"/>
  <c r="I1232" i="7"/>
  <c r="H1232" i="7"/>
  <c r="BC1229" i="7"/>
  <c r="BB1229" i="7"/>
  <c r="BA1229" i="7"/>
  <c r="AS1229" i="7"/>
  <c r="AR1229" i="7"/>
  <c r="AQ1229" i="7"/>
  <c r="AD1229" i="7"/>
  <c r="AC1229" i="7"/>
  <c r="Y1229" i="7"/>
  <c r="X1229" i="7"/>
  <c r="W1229" i="7"/>
  <c r="T1229" i="7"/>
  <c r="S1229" i="7"/>
  <c r="R1229" i="7"/>
  <c r="O1229" i="7"/>
  <c r="J1229" i="7"/>
  <c r="I1229" i="7"/>
  <c r="H1229" i="7"/>
  <c r="E1229" i="7"/>
  <c r="D1229" i="7"/>
  <c r="C1229" i="7"/>
  <c r="BC1227" i="7"/>
  <c r="BB1227" i="7"/>
  <c r="BA1227" i="7"/>
  <c r="AS1227" i="7"/>
  <c r="AR1227" i="7"/>
  <c r="AQ1227" i="7"/>
  <c r="J1227" i="7"/>
  <c r="I1227" i="7"/>
  <c r="H1227" i="7"/>
  <c r="AI1223" i="7"/>
  <c r="AH1223" i="7"/>
  <c r="AG1223" i="7"/>
  <c r="AC1223" i="7"/>
  <c r="O1223" i="7"/>
  <c r="N1223" i="7"/>
  <c r="M1223" i="7"/>
  <c r="J1223" i="7"/>
  <c r="I1223" i="7"/>
  <c r="H1223" i="7"/>
  <c r="E1223" i="7"/>
  <c r="D1223" i="7"/>
  <c r="C1223" i="7"/>
  <c r="BC1220" i="7"/>
  <c r="BB1220" i="7"/>
  <c r="BA1220" i="7"/>
  <c r="AS1220" i="7"/>
  <c r="AR1220" i="7"/>
  <c r="AQ1220" i="7"/>
  <c r="Y1220" i="7"/>
  <c r="X1220" i="7"/>
  <c r="W1220" i="7"/>
  <c r="T1220" i="7"/>
  <c r="S1220" i="7"/>
  <c r="R1220" i="7"/>
  <c r="J1220" i="7"/>
  <c r="I1220" i="7"/>
  <c r="H1220" i="7"/>
  <c r="BC1219" i="7"/>
  <c r="BB1219" i="7"/>
  <c r="BA1219" i="7"/>
  <c r="AS1219" i="7"/>
  <c r="AR1219" i="7"/>
  <c r="AQ1219" i="7"/>
  <c r="Y1219" i="7"/>
  <c r="X1219" i="7"/>
  <c r="W1219" i="7"/>
  <c r="T1219" i="7"/>
  <c r="S1219" i="7"/>
  <c r="R1219" i="7"/>
  <c r="J1219" i="7"/>
  <c r="I1219" i="7"/>
  <c r="H1219" i="7"/>
  <c r="E1219" i="7"/>
  <c r="D1219" i="7"/>
  <c r="C1219" i="7"/>
  <c r="BC1210" i="7"/>
  <c r="BB1210" i="7"/>
  <c r="BA1210" i="7"/>
  <c r="AS1210" i="7"/>
  <c r="AR1210" i="7"/>
  <c r="AQ1210" i="7"/>
  <c r="Y1210" i="7"/>
  <c r="X1210" i="7"/>
  <c r="W1210" i="7"/>
  <c r="T1210" i="7"/>
  <c r="S1210" i="7"/>
  <c r="R1210" i="7"/>
  <c r="J1210" i="7"/>
  <c r="I1210" i="7"/>
  <c r="H1210" i="7"/>
  <c r="J1209" i="7"/>
  <c r="I1209" i="7"/>
  <c r="H1209" i="7"/>
  <c r="AS1207" i="7"/>
  <c r="AR1207" i="7"/>
  <c r="AQ1207" i="7"/>
  <c r="O1207" i="7"/>
  <c r="N1207" i="7"/>
  <c r="M1207" i="7"/>
  <c r="J1207" i="7"/>
  <c r="I1207" i="7"/>
  <c r="H1207" i="7"/>
  <c r="BC1205" i="7"/>
  <c r="BB1205" i="7"/>
  <c r="BA1205" i="7"/>
  <c r="AS1205" i="7"/>
  <c r="AR1205" i="7"/>
  <c r="AQ1205" i="7"/>
  <c r="AN1205" i="7"/>
  <c r="AM1205" i="7"/>
  <c r="AL1205" i="7"/>
  <c r="O1205" i="7"/>
  <c r="N1205" i="7"/>
  <c r="M1205" i="7"/>
  <c r="J1205" i="7"/>
  <c r="I1205" i="7"/>
  <c r="H1205" i="7"/>
  <c r="E1205" i="7"/>
  <c r="D1205" i="7"/>
  <c r="C1205" i="7"/>
  <c r="AS1204" i="7"/>
  <c r="AR1204" i="7"/>
  <c r="AQ1204" i="7"/>
  <c r="J1204" i="7"/>
  <c r="I1204" i="7"/>
  <c r="H1204" i="7"/>
  <c r="BC1203" i="7"/>
  <c r="BB1203" i="7"/>
  <c r="BA1203" i="7"/>
  <c r="AS1203" i="7"/>
  <c r="AR1203" i="7"/>
  <c r="AQ1203" i="7"/>
  <c r="Y1203" i="7"/>
  <c r="X1203" i="7"/>
  <c r="W1203" i="7"/>
  <c r="BC1202" i="7"/>
  <c r="BB1202" i="7"/>
  <c r="BA1202" i="7"/>
  <c r="AS1202" i="7"/>
  <c r="AR1202" i="7"/>
  <c r="AQ1202" i="7"/>
  <c r="Y1202" i="7"/>
  <c r="X1202" i="7"/>
  <c r="W1202" i="7"/>
  <c r="O1202" i="7"/>
  <c r="N1202" i="7"/>
  <c r="M1202" i="7"/>
  <c r="J1202" i="7"/>
  <c r="I1202" i="7"/>
  <c r="H1202" i="7"/>
  <c r="BC1201" i="7"/>
  <c r="BB1201" i="7"/>
  <c r="BA1201" i="7"/>
  <c r="AS1201" i="7"/>
  <c r="AR1201" i="7"/>
  <c r="AQ1201" i="7"/>
  <c r="AD1201" i="7"/>
  <c r="AC1201" i="7"/>
  <c r="AB1201" i="7"/>
  <c r="Y1201" i="7"/>
  <c r="X1201" i="7"/>
  <c r="W1201" i="7"/>
  <c r="T1201" i="7"/>
  <c r="S1201" i="7"/>
  <c r="R1201" i="7"/>
  <c r="O1201" i="7"/>
  <c r="N1201" i="7"/>
  <c r="M1201" i="7"/>
  <c r="J1201" i="7"/>
  <c r="I1201" i="7"/>
  <c r="H1201" i="7"/>
  <c r="E1201" i="7"/>
  <c r="D1201" i="7"/>
  <c r="C1201" i="7"/>
  <c r="AI1197" i="7"/>
  <c r="AH1197" i="7"/>
  <c r="AG1197" i="7"/>
  <c r="M1197" i="7"/>
  <c r="J1197" i="7"/>
  <c r="I1197" i="7"/>
  <c r="H1197" i="7"/>
  <c r="E1197" i="7"/>
  <c r="D1197" i="7"/>
  <c r="C1197" i="7"/>
  <c r="BC1196" i="7"/>
  <c r="BB1196" i="7"/>
  <c r="BA1196" i="7"/>
  <c r="O1196" i="7"/>
  <c r="N1196" i="7"/>
  <c r="M1196" i="7"/>
  <c r="J1196" i="7"/>
  <c r="I1196" i="7"/>
  <c r="H1196" i="7"/>
  <c r="BC1195" i="7"/>
  <c r="BB1195" i="7"/>
  <c r="BA1195" i="7"/>
  <c r="J1195" i="7"/>
  <c r="I1195" i="7"/>
  <c r="H1195" i="7"/>
  <c r="BC1193" i="7"/>
  <c r="BB1193" i="7"/>
  <c r="BA1193" i="7"/>
  <c r="AS1193" i="7"/>
  <c r="AR1193" i="7"/>
  <c r="AQ1193" i="7"/>
  <c r="O1193" i="7"/>
  <c r="N1193" i="7"/>
  <c r="M1193" i="7"/>
  <c r="J1193" i="7"/>
  <c r="I1193" i="7"/>
  <c r="H1193" i="7"/>
  <c r="E1193" i="7"/>
  <c r="D1193" i="7"/>
  <c r="C1193" i="7"/>
  <c r="BC1192" i="7"/>
  <c r="BB1192" i="7"/>
  <c r="BA1192" i="7"/>
  <c r="AV1192" i="7"/>
  <c r="AS1192" i="7"/>
  <c r="AR1192" i="7"/>
  <c r="AQ1192" i="7"/>
  <c r="AN1192" i="7"/>
  <c r="AM1192" i="7"/>
  <c r="AL1192" i="7"/>
  <c r="AI1192" i="7"/>
  <c r="AH1192" i="7"/>
  <c r="AG1192" i="7"/>
  <c r="AD1192" i="7"/>
  <c r="AC1192" i="7"/>
  <c r="AB1192" i="7"/>
  <c r="Y1192" i="7"/>
  <c r="X1192" i="7"/>
  <c r="W1192" i="7"/>
  <c r="T1192" i="7"/>
  <c r="S1192" i="7"/>
  <c r="R1192" i="7"/>
  <c r="O1192" i="7"/>
  <c r="N1192" i="7"/>
  <c r="M1192" i="7"/>
  <c r="J1192" i="7"/>
  <c r="I1192" i="7"/>
  <c r="H1192" i="7"/>
  <c r="E1192" i="7"/>
  <c r="D1192" i="7"/>
  <c r="C1192" i="7"/>
  <c r="BC1190" i="7"/>
  <c r="BB1190" i="7"/>
  <c r="BA1190" i="7"/>
  <c r="AS1190" i="7"/>
  <c r="AR1190" i="7"/>
  <c r="AQ1190" i="7"/>
  <c r="AN1190" i="7"/>
  <c r="AM1190" i="7"/>
  <c r="AL1190" i="7"/>
  <c r="AD1190" i="7"/>
  <c r="AC1190" i="7"/>
  <c r="AB1190" i="7"/>
  <c r="Y1190" i="7"/>
  <c r="X1190" i="7"/>
  <c r="W1190" i="7"/>
  <c r="T1190" i="7"/>
  <c r="S1190" i="7"/>
  <c r="R1190" i="7"/>
  <c r="O1190" i="7"/>
  <c r="N1190" i="7"/>
  <c r="M1190" i="7"/>
  <c r="J1190" i="7"/>
  <c r="I1190" i="7"/>
  <c r="H1190" i="7"/>
  <c r="E1190" i="7"/>
  <c r="D1190" i="7"/>
  <c r="C1190" i="7"/>
  <c r="J1189" i="7"/>
  <c r="I1189" i="7"/>
  <c r="H1189" i="7"/>
  <c r="BC1188" i="7"/>
  <c r="BB1188" i="7"/>
  <c r="BA1188" i="7"/>
  <c r="AS1188" i="7"/>
  <c r="AR1188" i="7"/>
  <c r="AQ1188" i="7"/>
  <c r="AN1188" i="7"/>
  <c r="AM1188" i="7"/>
  <c r="AL1188" i="7"/>
  <c r="AI1188" i="7"/>
  <c r="AH1188" i="7"/>
  <c r="AG1188" i="7"/>
  <c r="AD1188" i="7"/>
  <c r="AC1188" i="7"/>
  <c r="AB1188" i="7"/>
  <c r="Y1188" i="7"/>
  <c r="X1188" i="7"/>
  <c r="W1188" i="7"/>
  <c r="O1188" i="7"/>
  <c r="N1188" i="7"/>
  <c r="M1188" i="7"/>
  <c r="J1188" i="7"/>
  <c r="I1188" i="7"/>
  <c r="H1188" i="7"/>
  <c r="E1188" i="7"/>
  <c r="D1188" i="7"/>
  <c r="C1188" i="7"/>
  <c r="BC1186" i="7"/>
  <c r="BB1186" i="7"/>
  <c r="BA1186" i="7"/>
  <c r="AS1186" i="7"/>
  <c r="AR1186" i="7"/>
  <c r="AQ1186" i="7"/>
  <c r="J1186" i="7"/>
  <c r="I1186" i="7"/>
  <c r="H1186" i="7"/>
  <c r="BC1183" i="7"/>
  <c r="BB1183" i="7"/>
  <c r="BA1183" i="7"/>
  <c r="O1183" i="7"/>
  <c r="N1183" i="7"/>
  <c r="M1183" i="7"/>
  <c r="J1183" i="7"/>
  <c r="I1183" i="7"/>
  <c r="H1183" i="7"/>
  <c r="E1183" i="7"/>
  <c r="D1183" i="7"/>
  <c r="C1183" i="7"/>
  <c r="BC1181" i="7"/>
  <c r="BB1181" i="7"/>
  <c r="BA1181" i="7"/>
  <c r="AS1181" i="7"/>
  <c r="AR1181" i="7"/>
  <c r="AQ1181" i="7"/>
  <c r="AN1181" i="7"/>
  <c r="AM1181" i="7"/>
  <c r="AL1181" i="7"/>
  <c r="AI1181" i="7"/>
  <c r="AH1181" i="7"/>
  <c r="AG1181" i="7"/>
  <c r="AD1181" i="7"/>
  <c r="AC1181" i="7"/>
  <c r="AB1181" i="7"/>
  <c r="Y1181" i="7"/>
  <c r="X1181" i="7"/>
  <c r="W1181" i="7"/>
  <c r="T1181" i="7"/>
  <c r="S1181" i="7"/>
  <c r="R1181" i="7"/>
  <c r="O1181" i="7"/>
  <c r="N1181" i="7"/>
  <c r="M1181" i="7"/>
  <c r="J1181" i="7"/>
  <c r="I1181" i="7"/>
  <c r="H1181" i="7"/>
  <c r="E1181" i="7"/>
  <c r="D1181" i="7"/>
  <c r="C1181" i="7"/>
  <c r="BC1180" i="7"/>
  <c r="BB1180" i="7"/>
  <c r="BA1180" i="7"/>
  <c r="AS1180" i="7"/>
  <c r="AR1180" i="7"/>
  <c r="AQ1180" i="7"/>
  <c r="AN1180" i="7"/>
  <c r="AM1180" i="7"/>
  <c r="AL1180" i="7"/>
  <c r="AI1180" i="7"/>
  <c r="AH1180" i="7"/>
  <c r="AG1180" i="7"/>
  <c r="AD1180" i="7"/>
  <c r="AC1180" i="7"/>
  <c r="AB1180" i="7"/>
  <c r="Y1180" i="7"/>
  <c r="X1180" i="7"/>
  <c r="W1180" i="7"/>
  <c r="T1180" i="7"/>
  <c r="S1180" i="7"/>
  <c r="R1180" i="7"/>
  <c r="O1180" i="7"/>
  <c r="N1180" i="7"/>
  <c r="M1180" i="7"/>
  <c r="J1180" i="7"/>
  <c r="I1180" i="7"/>
  <c r="H1180" i="7"/>
  <c r="E1180" i="7"/>
  <c r="D1180" i="7"/>
  <c r="C1180" i="7"/>
  <c r="AI1179" i="7"/>
  <c r="AH1179" i="7"/>
  <c r="AG1179" i="7"/>
  <c r="T1179" i="7"/>
  <c r="S1179" i="7"/>
  <c r="R1179" i="7"/>
  <c r="O1179" i="7"/>
  <c r="N1179" i="7"/>
  <c r="M1179" i="7"/>
  <c r="J1179" i="7"/>
  <c r="I1179" i="7"/>
  <c r="H1179" i="7"/>
  <c r="C1179" i="7"/>
  <c r="AI1178" i="7"/>
  <c r="AH1178" i="7"/>
  <c r="AG1178" i="7"/>
  <c r="J1178" i="7"/>
  <c r="I1178" i="7"/>
  <c r="H1178" i="7"/>
  <c r="BC1176" i="7"/>
  <c r="BB1176" i="7"/>
  <c r="BA1176" i="7"/>
  <c r="AS1176" i="7"/>
  <c r="AR1176" i="7"/>
  <c r="AQ1176" i="7"/>
  <c r="T1176" i="7"/>
  <c r="S1176" i="7"/>
  <c r="R1176" i="7"/>
  <c r="BC1175" i="7"/>
  <c r="BB1175" i="7"/>
  <c r="BA1175" i="7"/>
  <c r="AS1175" i="7"/>
  <c r="AR1175" i="7"/>
  <c r="AQ1175" i="7"/>
  <c r="T1175" i="7"/>
  <c r="S1175" i="7"/>
  <c r="R1175" i="7"/>
  <c r="J1175" i="7"/>
  <c r="I1175" i="7"/>
  <c r="H1175" i="7"/>
  <c r="BC1173" i="7"/>
  <c r="BB1173" i="7"/>
  <c r="BA1173" i="7"/>
  <c r="AS1173" i="7"/>
  <c r="AR1173" i="7"/>
  <c r="AQ1173" i="7"/>
  <c r="AI1173" i="7"/>
  <c r="AH1173" i="7"/>
  <c r="AG1173" i="7"/>
  <c r="AD1173" i="7"/>
  <c r="AC1173" i="7"/>
  <c r="AB1173" i="7"/>
  <c r="Y1173" i="7"/>
  <c r="X1173" i="7"/>
  <c r="W1173" i="7"/>
  <c r="T1173" i="7"/>
  <c r="S1173" i="7"/>
  <c r="R1173" i="7"/>
  <c r="O1173" i="7"/>
  <c r="N1173" i="7"/>
  <c r="M1173" i="7"/>
  <c r="J1173" i="7"/>
  <c r="I1173" i="7"/>
  <c r="H1173" i="7"/>
  <c r="E1173" i="7"/>
  <c r="D1173" i="7"/>
  <c r="C1173" i="7"/>
  <c r="J1172" i="7"/>
  <c r="I1172" i="7"/>
  <c r="H1172" i="7"/>
  <c r="BC1170" i="7"/>
  <c r="BB1170" i="7"/>
  <c r="BA1170" i="7"/>
  <c r="AS1170" i="7"/>
  <c r="AR1170" i="7"/>
  <c r="AQ1170" i="7"/>
  <c r="J1170" i="7"/>
  <c r="I1170" i="7"/>
  <c r="H1170" i="7"/>
  <c r="BC1168" i="7"/>
  <c r="BB1168" i="7"/>
  <c r="BA1168" i="7"/>
  <c r="AS1168" i="7"/>
  <c r="AR1168" i="7"/>
  <c r="AQ1168" i="7"/>
  <c r="Y1168" i="7"/>
  <c r="X1168" i="7"/>
  <c r="W1168" i="7"/>
  <c r="T1168" i="7"/>
  <c r="S1168" i="7"/>
  <c r="R1168" i="7"/>
  <c r="J1168" i="7"/>
  <c r="I1168" i="7"/>
  <c r="H1168" i="7"/>
  <c r="BC1167" i="7"/>
  <c r="BB1167" i="7"/>
  <c r="BA1167" i="7"/>
  <c r="AX1167" i="7"/>
  <c r="AW1167" i="7"/>
  <c r="AV1167" i="7"/>
  <c r="AS1167" i="7"/>
  <c r="AR1167" i="7"/>
  <c r="AQ1167" i="7"/>
  <c r="AN1167" i="7"/>
  <c r="AM1167" i="7"/>
  <c r="AL1167" i="7"/>
  <c r="AI1167" i="7"/>
  <c r="AH1167" i="7"/>
  <c r="AG1167" i="7"/>
  <c r="AD1167" i="7"/>
  <c r="AC1167" i="7"/>
  <c r="AB1167" i="7"/>
  <c r="Y1167" i="7"/>
  <c r="X1167" i="7"/>
  <c r="W1167" i="7"/>
  <c r="T1167" i="7"/>
  <c r="S1167" i="7"/>
  <c r="R1167" i="7"/>
  <c r="O1167" i="7"/>
  <c r="N1167" i="7"/>
  <c r="M1167" i="7"/>
  <c r="J1167" i="7"/>
  <c r="I1167" i="7"/>
  <c r="H1167" i="7"/>
  <c r="E1167" i="7"/>
  <c r="D1167" i="7"/>
  <c r="C1167" i="7"/>
  <c r="AS1165" i="7"/>
  <c r="AR1165" i="7"/>
  <c r="AQ1165" i="7"/>
  <c r="AI1165" i="7"/>
  <c r="AH1165" i="7"/>
  <c r="AG1165" i="7"/>
  <c r="Y1165" i="7"/>
  <c r="X1165" i="7"/>
  <c r="W1165" i="7"/>
  <c r="T1165" i="7"/>
  <c r="S1165" i="7"/>
  <c r="R1165" i="7"/>
  <c r="O1165" i="7"/>
  <c r="N1165" i="7"/>
  <c r="M1165" i="7"/>
  <c r="J1165" i="7"/>
  <c r="I1165" i="7"/>
  <c r="H1165" i="7"/>
  <c r="BC1164" i="7"/>
  <c r="BB1164" i="7"/>
  <c r="BA1164" i="7"/>
  <c r="AX1164" i="7"/>
  <c r="AW1164" i="7"/>
  <c r="AV1164" i="7"/>
  <c r="AS1164" i="7"/>
  <c r="AR1164" i="7"/>
  <c r="AQ1164" i="7"/>
  <c r="AN1164" i="7"/>
  <c r="AM1164" i="7"/>
  <c r="AL1164" i="7"/>
  <c r="AD1164" i="7"/>
  <c r="AC1164" i="7"/>
  <c r="AB1164" i="7"/>
  <c r="Y1164" i="7"/>
  <c r="X1164" i="7"/>
  <c r="W1164" i="7"/>
  <c r="T1164" i="7"/>
  <c r="S1164" i="7"/>
  <c r="R1164" i="7"/>
  <c r="O1164" i="7"/>
  <c r="N1164" i="7"/>
  <c r="M1164" i="7"/>
  <c r="J1164" i="7"/>
  <c r="I1164" i="7"/>
  <c r="H1164" i="7"/>
  <c r="E1164" i="7"/>
  <c r="D1164" i="7"/>
  <c r="C1164" i="7"/>
  <c r="AG1161" i="7"/>
  <c r="J1161" i="7"/>
  <c r="I1161" i="7"/>
  <c r="H1161" i="7"/>
  <c r="AI1155" i="7"/>
  <c r="AH1155" i="7"/>
  <c r="AG1155" i="7"/>
  <c r="J1155" i="7"/>
  <c r="I1155" i="7"/>
  <c r="H1155" i="7"/>
  <c r="BC1139" i="7"/>
  <c r="BB1139" i="7"/>
  <c r="BA1139" i="7"/>
  <c r="AX1139" i="7"/>
  <c r="AW1139" i="7"/>
  <c r="AV1139" i="7"/>
  <c r="AS1139" i="7"/>
  <c r="AR1139" i="7"/>
  <c r="AQ1139" i="7"/>
  <c r="AN1139" i="7"/>
  <c r="AM1139" i="7"/>
  <c r="AL1139" i="7"/>
  <c r="AI1139" i="7"/>
  <c r="AH1139" i="7"/>
  <c r="AG1139" i="7"/>
  <c r="AD1139" i="7"/>
  <c r="AC1139" i="7"/>
  <c r="AB1139" i="7"/>
  <c r="Y1139" i="7"/>
  <c r="X1139" i="7"/>
  <c r="W1139" i="7"/>
  <c r="T1139" i="7"/>
  <c r="S1139" i="7"/>
  <c r="R1139" i="7"/>
  <c r="O1139" i="7"/>
  <c r="N1139" i="7"/>
  <c r="M1139" i="7"/>
  <c r="J1139" i="7"/>
  <c r="I1139" i="7"/>
  <c r="H1139" i="7"/>
  <c r="E1139" i="7"/>
  <c r="D1139" i="7"/>
  <c r="C1139" i="7"/>
  <c r="AN1138" i="7"/>
  <c r="AM1138" i="7"/>
  <c r="AL1138" i="7"/>
  <c r="AI1138" i="7"/>
  <c r="AH1138" i="7"/>
  <c r="AG1138" i="7"/>
  <c r="AD1138" i="7"/>
  <c r="AC1138" i="7"/>
  <c r="AB1138" i="7"/>
  <c r="T1138" i="7"/>
  <c r="S1138" i="7"/>
  <c r="R1138" i="7"/>
  <c r="O1138" i="7"/>
  <c r="N1138" i="7"/>
  <c r="M1138" i="7"/>
  <c r="J1138" i="7"/>
  <c r="I1138" i="7"/>
  <c r="H1138" i="7"/>
  <c r="E1138" i="7"/>
  <c r="D1138" i="7"/>
  <c r="C1138" i="7"/>
  <c r="AS1137" i="7"/>
  <c r="AR1137" i="7"/>
  <c r="AQ1137" i="7"/>
  <c r="AN1137" i="7"/>
  <c r="AM1137" i="7"/>
  <c r="AL1137" i="7"/>
  <c r="AI1137" i="7"/>
  <c r="AH1137" i="7"/>
  <c r="AG1137" i="7"/>
  <c r="AD1137" i="7"/>
  <c r="AC1137" i="7"/>
  <c r="AB1137" i="7"/>
  <c r="Y1137" i="7"/>
  <c r="X1137" i="7"/>
  <c r="W1137" i="7"/>
  <c r="T1137" i="7"/>
  <c r="S1137" i="7"/>
  <c r="R1137" i="7"/>
  <c r="O1137" i="7"/>
  <c r="N1137" i="7"/>
  <c r="M1137" i="7"/>
  <c r="J1137" i="7"/>
  <c r="I1137" i="7"/>
  <c r="H1137" i="7"/>
  <c r="E1137" i="7"/>
  <c r="D1137" i="7"/>
  <c r="C1137" i="7"/>
  <c r="BC1136" i="7"/>
  <c r="BB1136" i="7"/>
  <c r="BA1136" i="7"/>
  <c r="AX1136" i="7"/>
  <c r="AW1136" i="7"/>
  <c r="AV1136" i="7"/>
  <c r="AS1136" i="7"/>
  <c r="AR1136" i="7"/>
  <c r="AQ1136" i="7"/>
  <c r="AN1136" i="7"/>
  <c r="AM1136" i="7"/>
  <c r="AL1136" i="7"/>
  <c r="AI1136" i="7"/>
  <c r="AH1136" i="7"/>
  <c r="AG1136" i="7"/>
  <c r="AD1136" i="7"/>
  <c r="AC1136" i="7"/>
  <c r="AB1136" i="7"/>
  <c r="Y1136" i="7"/>
  <c r="X1136" i="7"/>
  <c r="W1136" i="7"/>
  <c r="T1136" i="7"/>
  <c r="S1136" i="7"/>
  <c r="R1136" i="7"/>
  <c r="O1136" i="7"/>
  <c r="N1136" i="7"/>
  <c r="M1136" i="7"/>
  <c r="J1136" i="7"/>
  <c r="I1136" i="7"/>
  <c r="H1136" i="7"/>
  <c r="AS1133" i="7"/>
  <c r="AR1133" i="7"/>
  <c r="AQ1133" i="7"/>
  <c r="AI1133" i="7"/>
  <c r="AH1133" i="7"/>
  <c r="AG1133" i="7"/>
  <c r="AD1133" i="7"/>
  <c r="AC1133" i="7"/>
  <c r="AB1133" i="7"/>
  <c r="S1133" i="7"/>
  <c r="R1133" i="7"/>
  <c r="O1133" i="7"/>
  <c r="N1133" i="7"/>
  <c r="M1133" i="7"/>
  <c r="J1133" i="7"/>
  <c r="I1133" i="7"/>
  <c r="H1133" i="7"/>
  <c r="J1131" i="7"/>
  <c r="I1131" i="7"/>
  <c r="H1131" i="7"/>
  <c r="E1131" i="7"/>
  <c r="D1131" i="7"/>
  <c r="C1131" i="7"/>
  <c r="AI1127" i="7"/>
  <c r="AH1127" i="7"/>
  <c r="AG1127" i="7"/>
  <c r="J1127" i="7"/>
  <c r="I1127" i="7"/>
  <c r="H1127" i="7"/>
  <c r="E1127" i="7"/>
  <c r="D1127" i="7"/>
  <c r="C1127" i="7"/>
  <c r="Y1126" i="7"/>
  <c r="X1126" i="7"/>
  <c r="W1126" i="7"/>
  <c r="J1125" i="7"/>
  <c r="I1125" i="7"/>
  <c r="H1125" i="7"/>
  <c r="BC1119" i="7"/>
  <c r="BB1119" i="7"/>
  <c r="BA1119" i="7"/>
  <c r="AX1119" i="7"/>
  <c r="AW1119" i="7"/>
  <c r="AV1119" i="7"/>
  <c r="AS1119" i="7"/>
  <c r="AR1119" i="7"/>
  <c r="AQ1119" i="7"/>
  <c r="AN1119" i="7"/>
  <c r="AM1119" i="7"/>
  <c r="AL1119" i="7"/>
  <c r="AI1119" i="7"/>
  <c r="AH1119" i="7"/>
  <c r="AG1119" i="7"/>
  <c r="AD1119" i="7"/>
  <c r="AC1119" i="7"/>
  <c r="AB1119" i="7"/>
  <c r="Y1119" i="7"/>
  <c r="X1119" i="7"/>
  <c r="W1119" i="7"/>
  <c r="T1119" i="7"/>
  <c r="R1119" i="7"/>
  <c r="O1119" i="7"/>
  <c r="N1119" i="7"/>
  <c r="M1119" i="7"/>
  <c r="J1119" i="7"/>
  <c r="I1119" i="7"/>
  <c r="H1119" i="7"/>
  <c r="BC1117" i="7"/>
  <c r="BB1117" i="7"/>
  <c r="BA1117" i="7"/>
  <c r="AS1117" i="7"/>
  <c r="AR1117" i="7"/>
  <c r="AQ1117" i="7"/>
  <c r="Y1117" i="7"/>
  <c r="X1117" i="7"/>
  <c r="W1117" i="7"/>
  <c r="J1117" i="7"/>
  <c r="I1117" i="7"/>
  <c r="H1117" i="7"/>
  <c r="E1117" i="7"/>
  <c r="D1117" i="7"/>
  <c r="C1117" i="7"/>
  <c r="J1116" i="7"/>
  <c r="I1116" i="7"/>
  <c r="H1116" i="7"/>
  <c r="AX1115" i="7"/>
  <c r="AW1115" i="7"/>
  <c r="AV1115" i="7"/>
  <c r="J1115" i="7"/>
  <c r="I1115" i="7"/>
  <c r="H1115" i="7"/>
  <c r="AX1114" i="7"/>
  <c r="AW1114" i="7"/>
  <c r="AV1114" i="7"/>
  <c r="AS1114" i="7"/>
  <c r="AR1114" i="7"/>
  <c r="AQ1114" i="7"/>
  <c r="J1114" i="7"/>
  <c r="I1114" i="7"/>
  <c r="H1114" i="7"/>
  <c r="E1114" i="7"/>
  <c r="D1114" i="7"/>
  <c r="C1114" i="7"/>
  <c r="AX1113" i="7"/>
  <c r="AW1113" i="7"/>
  <c r="AV1113" i="7"/>
  <c r="T1113" i="7"/>
  <c r="R1113" i="7"/>
  <c r="N1113" i="7"/>
  <c r="J1110" i="7"/>
  <c r="I1110" i="7"/>
  <c r="H1110" i="7"/>
  <c r="BC1106" i="7"/>
  <c r="BB1106" i="7"/>
  <c r="BA1106" i="7"/>
  <c r="AS1106" i="7"/>
  <c r="AR1106" i="7"/>
  <c r="AQ1106" i="7"/>
  <c r="AN1106" i="7"/>
  <c r="AM1106" i="7"/>
  <c r="AL1106" i="7"/>
  <c r="AD1106" i="7"/>
  <c r="AC1106" i="7"/>
  <c r="AB1106" i="7"/>
  <c r="Y1106" i="7"/>
  <c r="X1106" i="7"/>
  <c r="W1106" i="7"/>
  <c r="T1106" i="7"/>
  <c r="S1106" i="7"/>
  <c r="R1106" i="7"/>
  <c r="O1106" i="7"/>
  <c r="N1106" i="7"/>
  <c r="M1106" i="7"/>
  <c r="J1106" i="7"/>
  <c r="I1106" i="7"/>
  <c r="H1106" i="7"/>
  <c r="E1106" i="7"/>
  <c r="D1106" i="7"/>
  <c r="C1106" i="7"/>
  <c r="J1105" i="7"/>
  <c r="I1105" i="7"/>
  <c r="H1105" i="7"/>
  <c r="J1102" i="7"/>
  <c r="I1102" i="7"/>
  <c r="H1102" i="7"/>
  <c r="BC1101" i="7"/>
  <c r="BB1101" i="7"/>
  <c r="BA1101" i="7"/>
  <c r="AX1101" i="7"/>
  <c r="AW1101" i="7"/>
  <c r="AV1101" i="7"/>
  <c r="AS1101" i="7"/>
  <c r="AR1101" i="7"/>
  <c r="AQ1101" i="7"/>
  <c r="S1101" i="7"/>
  <c r="O1101" i="7"/>
  <c r="N1101" i="7"/>
  <c r="M1101" i="7"/>
  <c r="J1101" i="7"/>
  <c r="I1101" i="7"/>
  <c r="H1101" i="7"/>
  <c r="BC1100" i="7"/>
  <c r="BB1100" i="7"/>
  <c r="BA1100" i="7"/>
  <c r="AX1100" i="7"/>
  <c r="AW1100" i="7"/>
  <c r="AV1100" i="7"/>
  <c r="AS1100" i="7"/>
  <c r="AR1100" i="7"/>
  <c r="AQ1100" i="7"/>
  <c r="AI1100" i="7"/>
  <c r="AH1100" i="7"/>
  <c r="AG1100" i="7"/>
  <c r="AD1100" i="7"/>
  <c r="AC1100" i="7"/>
  <c r="AB1100" i="7"/>
  <c r="Y1100" i="7"/>
  <c r="X1100" i="7"/>
  <c r="W1100" i="7"/>
  <c r="T1100" i="7"/>
  <c r="R1100" i="7"/>
  <c r="J1100" i="7"/>
  <c r="I1100" i="7"/>
  <c r="H1100" i="7"/>
  <c r="E1100" i="7"/>
  <c r="D1100" i="7"/>
  <c r="C1100" i="7"/>
  <c r="J1099" i="7"/>
  <c r="I1099" i="7"/>
  <c r="H1099" i="7"/>
  <c r="BC1097" i="7"/>
  <c r="BB1097" i="7"/>
  <c r="BA1097" i="7"/>
  <c r="AX1097" i="7"/>
  <c r="AW1097" i="7"/>
  <c r="AV1097" i="7"/>
  <c r="AS1097" i="7"/>
  <c r="AR1097" i="7"/>
  <c r="AQ1097" i="7"/>
  <c r="AN1097" i="7"/>
  <c r="AM1097" i="7"/>
  <c r="AL1097" i="7"/>
  <c r="AD1097" i="7"/>
  <c r="AC1097" i="7"/>
  <c r="AB1097" i="7"/>
  <c r="Y1097" i="7"/>
  <c r="X1097" i="7"/>
  <c r="W1097" i="7"/>
  <c r="T1097" i="7"/>
  <c r="S1097" i="7"/>
  <c r="R1097" i="7"/>
  <c r="O1097" i="7"/>
  <c r="N1097" i="7"/>
  <c r="M1097" i="7"/>
  <c r="J1097" i="7"/>
  <c r="I1097" i="7"/>
  <c r="H1097" i="7"/>
  <c r="E1097" i="7"/>
  <c r="D1097" i="7"/>
  <c r="C1097" i="7"/>
  <c r="AX1096" i="7"/>
  <c r="AW1096" i="7"/>
  <c r="AV1096" i="7"/>
  <c r="J1096" i="7"/>
  <c r="I1096" i="7"/>
  <c r="H1096" i="7"/>
  <c r="AI1093" i="7"/>
  <c r="AH1093" i="7"/>
  <c r="AG1093" i="7"/>
  <c r="J1093" i="7"/>
  <c r="I1093" i="7"/>
  <c r="H1093" i="7"/>
  <c r="AX1092" i="7"/>
  <c r="AW1092" i="7"/>
  <c r="AV1092" i="7"/>
  <c r="AI1092" i="7"/>
  <c r="AH1092" i="7"/>
  <c r="AG1092" i="7"/>
  <c r="J1092" i="7"/>
  <c r="I1092" i="7"/>
  <c r="H1092" i="7"/>
  <c r="BC1091" i="7"/>
  <c r="BB1091" i="7"/>
  <c r="BA1091" i="7"/>
  <c r="AX1091" i="7"/>
  <c r="AW1091" i="7"/>
  <c r="AV1091" i="7"/>
  <c r="AS1091" i="7"/>
  <c r="AR1091" i="7"/>
  <c r="AQ1091" i="7"/>
  <c r="AI1091" i="7"/>
  <c r="AH1091" i="7"/>
  <c r="AG1091" i="7"/>
  <c r="AD1091" i="7"/>
  <c r="AC1091" i="7"/>
  <c r="AB1091" i="7"/>
  <c r="Y1091" i="7"/>
  <c r="X1091" i="7"/>
  <c r="W1091" i="7"/>
  <c r="T1091" i="7"/>
  <c r="S1091" i="7"/>
  <c r="R1091" i="7"/>
  <c r="O1091" i="7"/>
  <c r="N1091" i="7"/>
  <c r="M1091" i="7"/>
  <c r="J1091" i="7"/>
  <c r="I1091" i="7"/>
  <c r="H1091" i="7"/>
  <c r="E1091" i="7"/>
  <c r="D1091" i="7"/>
  <c r="C1091" i="7"/>
  <c r="BC1088" i="7"/>
  <c r="BB1088" i="7"/>
  <c r="BA1088" i="7"/>
  <c r="AX1088" i="7"/>
  <c r="AW1088" i="7"/>
  <c r="AV1088" i="7"/>
  <c r="AS1088" i="7"/>
  <c r="AR1088" i="7"/>
  <c r="AQ1088" i="7"/>
  <c r="AD1088" i="7"/>
  <c r="T1088" i="7"/>
  <c r="S1088" i="7"/>
  <c r="R1088" i="7"/>
  <c r="O1088" i="7"/>
  <c r="N1088" i="7"/>
  <c r="M1088" i="7"/>
  <c r="J1088" i="7"/>
  <c r="I1088" i="7"/>
  <c r="H1088" i="7"/>
  <c r="J1087" i="7"/>
  <c r="I1087" i="7"/>
  <c r="H1087" i="7"/>
  <c r="J1086" i="7"/>
  <c r="I1086" i="7"/>
  <c r="H1086" i="7"/>
  <c r="AI1085" i="7"/>
  <c r="AH1085" i="7"/>
  <c r="AG1085" i="7"/>
  <c r="AB1085" i="7"/>
  <c r="M1085" i="7"/>
  <c r="J1085" i="7"/>
  <c r="I1085" i="7"/>
  <c r="H1085" i="7"/>
  <c r="E1085" i="7"/>
  <c r="D1085" i="7"/>
  <c r="C1085" i="7"/>
  <c r="BC1084" i="7"/>
  <c r="BB1084" i="7"/>
  <c r="BA1084" i="7"/>
  <c r="AI1084" i="7"/>
  <c r="AH1084" i="7"/>
  <c r="AG1084" i="7"/>
  <c r="T1084" i="7"/>
  <c r="S1084" i="7"/>
  <c r="O1084" i="7"/>
  <c r="N1084" i="7"/>
  <c r="M1084" i="7"/>
  <c r="J1084" i="7"/>
  <c r="I1084" i="7"/>
  <c r="H1084" i="7"/>
  <c r="E1084" i="7"/>
  <c r="D1084" i="7"/>
  <c r="C1084" i="7"/>
  <c r="BC1082" i="7"/>
  <c r="BB1082" i="7"/>
  <c r="BA1082" i="7"/>
  <c r="AX1082" i="7"/>
  <c r="AW1082" i="7"/>
  <c r="AV1082" i="7"/>
  <c r="AS1082" i="7"/>
  <c r="AR1082" i="7"/>
  <c r="AQ1082" i="7"/>
  <c r="AI1082" i="7"/>
  <c r="AH1082" i="7"/>
  <c r="AG1082" i="7"/>
  <c r="AD1082" i="7"/>
  <c r="AC1082" i="7"/>
  <c r="AB1082" i="7"/>
  <c r="Y1082" i="7"/>
  <c r="X1082" i="7"/>
  <c r="W1082" i="7"/>
  <c r="J1082" i="7"/>
  <c r="I1082" i="7"/>
  <c r="H1082" i="7"/>
  <c r="E1082" i="7"/>
  <c r="D1082" i="7"/>
  <c r="C1082" i="7"/>
  <c r="J1080" i="7"/>
  <c r="I1080" i="7"/>
  <c r="H1080" i="7"/>
  <c r="AI1079" i="7"/>
  <c r="AH1079" i="7"/>
  <c r="AG1079" i="7"/>
  <c r="J1079" i="7"/>
  <c r="I1079" i="7"/>
  <c r="H1079" i="7"/>
  <c r="AI1078" i="7"/>
  <c r="AH1078" i="7"/>
  <c r="AG1078" i="7"/>
  <c r="J1078" i="7"/>
  <c r="I1078" i="7"/>
  <c r="H1078" i="7"/>
  <c r="AX1075" i="7"/>
  <c r="AW1075" i="7"/>
  <c r="AV1075" i="7"/>
  <c r="AS1075" i="7"/>
  <c r="AR1075" i="7"/>
  <c r="AQ1075" i="7"/>
  <c r="AB1075" i="7"/>
  <c r="O1075" i="7"/>
  <c r="N1075" i="7"/>
  <c r="J1075" i="7"/>
  <c r="I1075" i="7"/>
  <c r="H1075" i="7"/>
  <c r="BC1070" i="7"/>
  <c r="BB1070" i="7"/>
  <c r="BA1070" i="7"/>
  <c r="AX1070" i="7"/>
  <c r="AW1070" i="7"/>
  <c r="AV1070" i="7"/>
  <c r="AS1070" i="7"/>
  <c r="AR1070" i="7"/>
  <c r="AQ1070" i="7"/>
  <c r="AN1070" i="7"/>
  <c r="AM1070" i="7"/>
  <c r="AL1070" i="7"/>
  <c r="AI1070" i="7"/>
  <c r="AH1070" i="7"/>
  <c r="AG1070" i="7"/>
  <c r="AD1070" i="7"/>
  <c r="AC1070" i="7"/>
  <c r="AB1070" i="7"/>
  <c r="Y1070" i="7"/>
  <c r="X1070" i="7"/>
  <c r="W1070" i="7"/>
  <c r="T1070" i="7"/>
  <c r="S1070" i="7"/>
  <c r="O1070" i="7"/>
  <c r="N1070" i="7"/>
  <c r="M1070" i="7"/>
  <c r="J1070" i="7"/>
  <c r="I1070" i="7"/>
  <c r="H1070" i="7"/>
  <c r="E1070" i="7"/>
  <c r="D1070" i="7"/>
  <c r="C1070" i="7"/>
  <c r="BC1068" i="7"/>
  <c r="BB1068" i="7"/>
  <c r="BA1068" i="7"/>
  <c r="AX1068" i="7"/>
  <c r="AW1068" i="7"/>
  <c r="AV1068" i="7"/>
  <c r="AS1068" i="7"/>
  <c r="AR1068" i="7"/>
  <c r="AQ1068" i="7"/>
  <c r="AI1068" i="7"/>
  <c r="AH1068" i="7"/>
  <c r="AG1068" i="7"/>
  <c r="Y1068" i="7"/>
  <c r="X1068" i="7"/>
  <c r="W1068" i="7"/>
  <c r="J1068" i="7"/>
  <c r="I1068" i="7"/>
  <c r="H1068" i="7"/>
  <c r="AI1065" i="7"/>
  <c r="AH1065" i="7"/>
  <c r="AG1065" i="7"/>
  <c r="J1065" i="7"/>
  <c r="I1065" i="7"/>
  <c r="H1065" i="7"/>
  <c r="BC1063" i="7"/>
  <c r="BB1063" i="7"/>
  <c r="BA1063" i="7"/>
  <c r="AX1063" i="7"/>
  <c r="AW1063" i="7"/>
  <c r="AV1063" i="7"/>
  <c r="AS1063" i="7"/>
  <c r="AR1063" i="7"/>
  <c r="AQ1063" i="7"/>
  <c r="AI1063" i="7"/>
  <c r="AH1063" i="7"/>
  <c r="AG1063" i="7"/>
  <c r="AD1063" i="7"/>
  <c r="AC1063" i="7"/>
  <c r="AB1063" i="7"/>
  <c r="Y1063" i="7"/>
  <c r="X1063" i="7"/>
  <c r="W1063" i="7"/>
  <c r="T1063" i="7"/>
  <c r="S1063" i="7"/>
  <c r="R1063" i="7"/>
  <c r="O1063" i="7"/>
  <c r="N1063" i="7"/>
  <c r="M1063" i="7"/>
  <c r="J1063" i="7"/>
  <c r="I1063" i="7"/>
  <c r="H1063" i="7"/>
  <c r="E1063" i="7"/>
  <c r="D1063" i="7"/>
  <c r="C1063" i="7"/>
  <c r="BC1062" i="7"/>
  <c r="BB1062" i="7"/>
  <c r="BA1062" i="7"/>
  <c r="AX1062" i="7"/>
  <c r="AW1062" i="7"/>
  <c r="AV1062" i="7"/>
  <c r="AS1062" i="7"/>
  <c r="AR1062" i="7"/>
  <c r="AQ1062" i="7"/>
  <c r="AN1062" i="7"/>
  <c r="AM1062" i="7"/>
  <c r="AL1062" i="7"/>
  <c r="AI1062" i="7"/>
  <c r="AH1062" i="7"/>
  <c r="AG1062" i="7"/>
  <c r="AD1062" i="7"/>
  <c r="AC1062" i="7"/>
  <c r="AB1062" i="7"/>
  <c r="Y1062" i="7"/>
  <c r="X1062" i="7"/>
  <c r="W1062" i="7"/>
  <c r="T1062" i="7"/>
  <c r="S1062" i="7"/>
  <c r="R1062" i="7"/>
  <c r="O1062" i="7"/>
  <c r="N1062" i="7"/>
  <c r="M1062" i="7"/>
  <c r="J1062" i="7"/>
  <c r="I1062" i="7"/>
  <c r="H1062" i="7"/>
  <c r="E1062" i="7"/>
  <c r="D1062" i="7"/>
  <c r="C1062" i="7"/>
  <c r="BM1055" i="7"/>
  <c r="BL1055" i="7"/>
  <c r="BK1055" i="7"/>
  <c r="AI1055" i="7"/>
  <c r="AH1055" i="7"/>
  <c r="AG1055" i="7"/>
  <c r="O1055" i="7"/>
  <c r="N1055" i="7"/>
  <c r="M1055" i="7"/>
  <c r="J1055" i="7"/>
  <c r="I1055" i="7"/>
  <c r="H1055" i="7"/>
  <c r="J1052" i="7"/>
  <c r="I1052" i="7"/>
  <c r="H1052" i="7"/>
  <c r="J1051" i="7"/>
  <c r="I1051" i="7"/>
  <c r="H1051" i="7"/>
  <c r="BM1048" i="7"/>
  <c r="BL1048" i="7"/>
  <c r="BK1048" i="7"/>
  <c r="AI1048" i="7"/>
  <c r="AH1048" i="7"/>
  <c r="AG1048" i="7"/>
  <c r="AC1048" i="7"/>
  <c r="T1048" i="7"/>
  <c r="M1048" i="7"/>
  <c r="J1048" i="7"/>
  <c r="I1048" i="7"/>
  <c r="H1048" i="7"/>
  <c r="J1047" i="7"/>
  <c r="I1047" i="7"/>
  <c r="H1047" i="7"/>
  <c r="BC1043" i="7"/>
  <c r="BB1043" i="7"/>
  <c r="BA1043" i="7"/>
  <c r="AX1043" i="7"/>
  <c r="AW1043" i="7"/>
  <c r="AV1043" i="7"/>
  <c r="AS1043" i="7"/>
  <c r="AR1043" i="7"/>
  <c r="AQ1043" i="7"/>
  <c r="AI1043" i="7"/>
  <c r="AH1043" i="7"/>
  <c r="AG1043" i="7"/>
  <c r="Y1043" i="7"/>
  <c r="X1043" i="7"/>
  <c r="W1043" i="7"/>
  <c r="O1043" i="7"/>
  <c r="N1043" i="7"/>
  <c r="M1043" i="7"/>
  <c r="J1043" i="7"/>
  <c r="I1043" i="7"/>
  <c r="H1043" i="7"/>
  <c r="E1043" i="7"/>
  <c r="D1043" i="7"/>
  <c r="C1043" i="7"/>
  <c r="BM1042" i="7"/>
  <c r="BL1042" i="7"/>
  <c r="AX1042" i="7"/>
  <c r="AW1042" i="7"/>
  <c r="AV1042" i="7"/>
  <c r="AS1042" i="7"/>
  <c r="AQ1042" i="7"/>
  <c r="AI1042" i="7"/>
  <c r="AH1042" i="7"/>
  <c r="AG1042" i="7"/>
  <c r="AD1042" i="7"/>
  <c r="AC1042" i="7"/>
  <c r="AB1042" i="7"/>
  <c r="S1042" i="7"/>
  <c r="R1042" i="7"/>
  <c r="O1042" i="7"/>
  <c r="N1042" i="7"/>
  <c r="M1042" i="7"/>
  <c r="J1042" i="7"/>
  <c r="I1042" i="7"/>
  <c r="H1042" i="7"/>
  <c r="E1042" i="7"/>
  <c r="D1042" i="7"/>
  <c r="C1042" i="7"/>
  <c r="BC1041" i="7"/>
  <c r="BB1041" i="7"/>
  <c r="BA1041" i="7"/>
  <c r="AX1041" i="7"/>
  <c r="AW1041" i="7"/>
  <c r="AV1041" i="7"/>
  <c r="AS1041" i="7"/>
  <c r="AR1041" i="7"/>
  <c r="AQ1041" i="7"/>
  <c r="AN1041" i="7"/>
  <c r="AM1041" i="7"/>
  <c r="AL1041" i="7"/>
  <c r="AI1041" i="7"/>
  <c r="AH1041" i="7"/>
  <c r="AG1041" i="7"/>
  <c r="AD1041" i="7"/>
  <c r="AC1041" i="7"/>
  <c r="AB1041" i="7"/>
  <c r="Y1041" i="7"/>
  <c r="X1041" i="7"/>
  <c r="W1041" i="7"/>
  <c r="T1041" i="7"/>
  <c r="S1041" i="7"/>
  <c r="R1041" i="7"/>
  <c r="O1041" i="7"/>
  <c r="N1041" i="7"/>
  <c r="M1041" i="7"/>
  <c r="J1041" i="7"/>
  <c r="I1041" i="7"/>
  <c r="H1041" i="7"/>
  <c r="E1041" i="7"/>
  <c r="D1041" i="7"/>
  <c r="C1041" i="7"/>
  <c r="BC1040" i="7"/>
  <c r="BB1040" i="7"/>
  <c r="BA1040" i="7"/>
  <c r="AX1040" i="7"/>
  <c r="AW1040" i="7"/>
  <c r="AV1040" i="7"/>
  <c r="AD1040" i="7"/>
  <c r="AC1040" i="7"/>
  <c r="AB1040" i="7"/>
  <c r="Y1040" i="7"/>
  <c r="X1040" i="7"/>
  <c r="W1040" i="7"/>
  <c r="S1040" i="7"/>
  <c r="R1040" i="7"/>
  <c r="O1040" i="7"/>
  <c r="N1040" i="7"/>
  <c r="M1040" i="7"/>
  <c r="J1040" i="7"/>
  <c r="I1040" i="7"/>
  <c r="H1040" i="7"/>
  <c r="AI1039" i="7"/>
  <c r="AH1039" i="7"/>
  <c r="AG1039" i="7"/>
  <c r="J1039" i="7"/>
  <c r="I1039" i="7"/>
  <c r="H1039" i="7"/>
  <c r="BC1037" i="7"/>
  <c r="BB1037" i="7"/>
  <c r="BA1037" i="7"/>
  <c r="AX1037" i="7"/>
  <c r="AW1037" i="7"/>
  <c r="AV1037" i="7"/>
  <c r="AS1037" i="7"/>
  <c r="AR1037" i="7"/>
  <c r="AQ1037" i="7"/>
  <c r="AI1037" i="7"/>
  <c r="AH1037" i="7"/>
  <c r="AG1037" i="7"/>
  <c r="J1037" i="7"/>
  <c r="I1037" i="7"/>
  <c r="H1037" i="7"/>
  <c r="E1037" i="7"/>
  <c r="D1037" i="7"/>
  <c r="C1037" i="7"/>
  <c r="J1036" i="7"/>
  <c r="I1036" i="7"/>
  <c r="H1036" i="7"/>
  <c r="BC1035" i="7"/>
  <c r="BB1035" i="7"/>
  <c r="BA1035" i="7"/>
  <c r="AX1035" i="7"/>
  <c r="AW1035" i="7"/>
  <c r="AV1035" i="7"/>
  <c r="AS1035" i="7"/>
  <c r="AR1035" i="7"/>
  <c r="AQ1035" i="7"/>
  <c r="AI1035" i="7"/>
  <c r="AH1035" i="7"/>
  <c r="AG1035" i="7"/>
  <c r="T1035" i="7"/>
  <c r="O1035" i="7"/>
  <c r="N1035" i="7"/>
  <c r="M1035" i="7"/>
  <c r="J1035" i="7"/>
  <c r="I1035" i="7"/>
  <c r="H1035" i="7"/>
  <c r="E1035" i="7"/>
  <c r="D1035" i="7"/>
  <c r="C1035" i="7"/>
  <c r="BC1032" i="7"/>
  <c r="BB1032" i="7"/>
  <c r="BA1032" i="7"/>
  <c r="AX1032" i="7"/>
  <c r="AW1032" i="7"/>
  <c r="AV1032" i="7"/>
  <c r="AS1032" i="7"/>
  <c r="AR1032" i="7"/>
  <c r="AQ1032" i="7"/>
  <c r="AD1032" i="7"/>
  <c r="AC1032" i="7"/>
  <c r="AB1032" i="7"/>
  <c r="Y1032" i="7"/>
  <c r="X1032" i="7"/>
  <c r="W1032" i="7"/>
  <c r="T1032" i="7"/>
  <c r="S1032" i="7"/>
  <c r="R1032" i="7"/>
  <c r="J1032" i="7"/>
  <c r="I1032" i="7"/>
  <c r="H1032" i="7"/>
  <c r="E1032" i="7"/>
  <c r="D1032" i="7"/>
  <c r="C1032" i="7"/>
  <c r="AI1031" i="7"/>
  <c r="AH1031" i="7"/>
  <c r="AG1031" i="7"/>
  <c r="J1031" i="7"/>
  <c r="I1031" i="7"/>
  <c r="H1031" i="7"/>
  <c r="E1031" i="7"/>
  <c r="D1031" i="7"/>
  <c r="C1031" i="7"/>
  <c r="J1030" i="7"/>
  <c r="I1030" i="7"/>
  <c r="H1030" i="7"/>
  <c r="BC1029" i="7"/>
  <c r="BB1029" i="7"/>
  <c r="BA1029" i="7"/>
  <c r="AX1029" i="7"/>
  <c r="AW1029" i="7"/>
  <c r="AV1029" i="7"/>
  <c r="AS1029" i="7"/>
  <c r="AR1029" i="7"/>
  <c r="AQ1029" i="7"/>
  <c r="AI1029" i="7"/>
  <c r="AH1029" i="7"/>
  <c r="AG1029" i="7"/>
  <c r="AD1029" i="7"/>
  <c r="AC1029" i="7"/>
  <c r="AB1029" i="7"/>
  <c r="Y1029" i="7"/>
  <c r="X1029" i="7"/>
  <c r="W1029" i="7"/>
  <c r="T1029" i="7"/>
  <c r="S1029" i="7"/>
  <c r="R1029" i="7"/>
  <c r="O1029" i="7"/>
  <c r="N1029" i="7"/>
  <c r="M1029" i="7"/>
  <c r="J1029" i="7"/>
  <c r="I1029" i="7"/>
  <c r="H1029" i="7"/>
  <c r="E1029" i="7"/>
  <c r="D1029" i="7"/>
  <c r="C1029" i="7"/>
  <c r="J1027" i="7"/>
  <c r="I1027" i="7"/>
  <c r="H1027" i="7"/>
  <c r="J1026" i="7"/>
  <c r="I1026" i="7"/>
  <c r="H1026" i="7"/>
  <c r="AI1023" i="7"/>
  <c r="AH1023" i="7"/>
  <c r="AG1023" i="7"/>
  <c r="J1023" i="7"/>
  <c r="I1023" i="7"/>
  <c r="H1023" i="7"/>
  <c r="BC1022" i="7"/>
  <c r="BB1022" i="7"/>
  <c r="BA1022" i="7"/>
  <c r="AX1022" i="7"/>
  <c r="AW1022" i="7"/>
  <c r="AV1022" i="7"/>
  <c r="AS1022" i="7"/>
  <c r="AR1022" i="7"/>
  <c r="AQ1022" i="7"/>
  <c r="AN1022" i="7"/>
  <c r="AM1022" i="7"/>
  <c r="AL1022" i="7"/>
  <c r="AI1022" i="7"/>
  <c r="AH1022" i="7"/>
  <c r="AG1022" i="7"/>
  <c r="AD1022" i="7"/>
  <c r="AC1022" i="7"/>
  <c r="AB1022" i="7"/>
  <c r="Y1022" i="7"/>
  <c r="X1022" i="7"/>
  <c r="W1022" i="7"/>
  <c r="T1022" i="7"/>
  <c r="S1022" i="7"/>
  <c r="R1022" i="7"/>
  <c r="O1022" i="7"/>
  <c r="N1022" i="7"/>
  <c r="M1022" i="7"/>
  <c r="J1022" i="7"/>
  <c r="I1022" i="7"/>
  <c r="H1022" i="7"/>
  <c r="E1022" i="7"/>
  <c r="D1022" i="7"/>
  <c r="C1022" i="7"/>
  <c r="BC1020" i="7"/>
  <c r="BB1020" i="7"/>
  <c r="BA1020" i="7"/>
  <c r="AX1020" i="7"/>
  <c r="AW1020" i="7"/>
  <c r="AV1020" i="7"/>
  <c r="J1020" i="7"/>
  <c r="I1020" i="7"/>
  <c r="H1020" i="7"/>
  <c r="BC1019" i="7"/>
  <c r="BB1019" i="7"/>
  <c r="BA1019" i="7"/>
  <c r="AX1019" i="7"/>
  <c r="AW1019" i="7"/>
  <c r="AV1019" i="7"/>
  <c r="AS1019" i="7"/>
  <c r="AR1019" i="7"/>
  <c r="AQ1019" i="7"/>
  <c r="AN1019" i="7"/>
  <c r="AM1019" i="7"/>
  <c r="AL1019" i="7"/>
  <c r="AI1019" i="7"/>
  <c r="AH1019" i="7"/>
  <c r="AG1019" i="7"/>
  <c r="AD1019" i="7"/>
  <c r="AC1019" i="7"/>
  <c r="AB1019" i="7"/>
  <c r="Y1019" i="7"/>
  <c r="X1019" i="7"/>
  <c r="W1019" i="7"/>
  <c r="T1019" i="7"/>
  <c r="S1019" i="7"/>
  <c r="R1019" i="7"/>
  <c r="O1019" i="7"/>
  <c r="N1019" i="7"/>
  <c r="M1019" i="7"/>
  <c r="J1019" i="7"/>
  <c r="I1019" i="7"/>
  <c r="H1019" i="7"/>
  <c r="E1019" i="7"/>
  <c r="D1019" i="7"/>
  <c r="C1019" i="7"/>
  <c r="BC1015" i="7"/>
  <c r="BB1015" i="7"/>
  <c r="BA1015" i="7"/>
  <c r="AX1015" i="7"/>
  <c r="AW1015" i="7"/>
  <c r="AV1015" i="7"/>
  <c r="AS1015" i="7"/>
  <c r="AR1015" i="7"/>
  <c r="AQ1015" i="7"/>
  <c r="AI1015" i="7"/>
  <c r="AH1015" i="7"/>
  <c r="AG1015" i="7"/>
  <c r="AD1015" i="7"/>
  <c r="AC1015" i="7"/>
  <c r="AB1015" i="7"/>
  <c r="Y1015" i="7"/>
  <c r="X1015" i="7"/>
  <c r="W1015" i="7"/>
  <c r="T1015" i="7"/>
  <c r="S1015" i="7"/>
  <c r="R1015" i="7"/>
  <c r="O1015" i="7"/>
  <c r="N1015" i="7"/>
  <c r="M1015" i="7"/>
  <c r="J1015" i="7"/>
  <c r="I1015" i="7"/>
  <c r="H1015" i="7"/>
  <c r="E1015" i="7"/>
  <c r="D1015" i="7"/>
  <c r="C1015" i="7"/>
  <c r="AX1013" i="7"/>
  <c r="AW1013" i="7"/>
  <c r="AV1013" i="7"/>
  <c r="AI1013" i="7"/>
  <c r="AH1013" i="7"/>
  <c r="AG1013" i="7"/>
  <c r="AD1013" i="7"/>
  <c r="AC1013" i="7"/>
  <c r="AB1013" i="7"/>
  <c r="T1013" i="7"/>
  <c r="R1013" i="7"/>
  <c r="J1013" i="7"/>
  <c r="I1013" i="7"/>
  <c r="H1013" i="7"/>
  <c r="E1013" i="7"/>
  <c r="D1013" i="7"/>
  <c r="C1013" i="7"/>
  <c r="J1012" i="7"/>
  <c r="I1012" i="7"/>
  <c r="H1012" i="7"/>
  <c r="BC1010" i="7"/>
  <c r="BB1010" i="7"/>
  <c r="BA1010" i="7"/>
  <c r="AS1010" i="7"/>
  <c r="AR1010" i="7"/>
  <c r="AQ1010" i="7"/>
  <c r="AD1010" i="7"/>
  <c r="AC1010" i="7"/>
  <c r="AB1010" i="7"/>
  <c r="Y1010" i="7"/>
  <c r="X1010" i="7"/>
  <c r="W1010" i="7"/>
  <c r="T1010" i="7"/>
  <c r="S1010" i="7"/>
  <c r="R1010" i="7"/>
  <c r="J1010" i="7"/>
  <c r="I1010" i="7"/>
  <c r="H1010" i="7"/>
  <c r="BC1009" i="7"/>
  <c r="BB1009" i="7"/>
  <c r="BA1009" i="7"/>
  <c r="AX1009" i="7"/>
  <c r="AW1009" i="7"/>
  <c r="AV1009" i="7"/>
  <c r="AS1009" i="7"/>
  <c r="AR1009" i="7"/>
  <c r="AQ1009" i="7"/>
  <c r="O1009" i="7"/>
  <c r="N1009" i="7"/>
  <c r="M1009" i="7"/>
  <c r="J1009" i="7"/>
  <c r="I1009" i="7"/>
  <c r="H1009" i="7"/>
  <c r="BC1007" i="7"/>
  <c r="BB1007" i="7"/>
  <c r="BA1007" i="7"/>
  <c r="AX1007" i="7"/>
  <c r="AW1007" i="7"/>
  <c r="AV1007" i="7"/>
  <c r="AS1007" i="7"/>
  <c r="AR1007" i="7"/>
  <c r="AQ1007" i="7"/>
  <c r="AI1007" i="7"/>
  <c r="AH1007" i="7"/>
  <c r="AG1007" i="7"/>
  <c r="J1007" i="7"/>
  <c r="I1007" i="7"/>
  <c r="H1007" i="7"/>
  <c r="BC1006" i="7"/>
  <c r="BB1006" i="7"/>
  <c r="BA1006" i="7"/>
  <c r="AX1006" i="7"/>
  <c r="AW1006" i="7"/>
  <c r="AV1006" i="7"/>
  <c r="AS1006" i="7"/>
  <c r="AR1006" i="7"/>
  <c r="AQ1006" i="7"/>
  <c r="AI1006" i="7"/>
  <c r="AH1006" i="7"/>
  <c r="AG1006" i="7"/>
  <c r="AD1006" i="7"/>
  <c r="AC1006" i="7"/>
  <c r="AB1006" i="7"/>
  <c r="S1006" i="7"/>
  <c r="N1006" i="7"/>
  <c r="M1006" i="7"/>
  <c r="J1006" i="7"/>
  <c r="I1006" i="7"/>
  <c r="H1006" i="7"/>
  <c r="E1006" i="7"/>
  <c r="D1006" i="7"/>
  <c r="C1006" i="7"/>
  <c r="AI1005" i="7"/>
  <c r="AH1005" i="7"/>
  <c r="AG1005" i="7"/>
  <c r="J1005" i="7"/>
  <c r="I1005" i="7"/>
  <c r="H1005" i="7"/>
  <c r="BC1004" i="7"/>
  <c r="BB1004" i="7"/>
  <c r="BA1004" i="7"/>
  <c r="AX1004" i="7"/>
  <c r="AW1004" i="7"/>
  <c r="AV1004" i="7"/>
  <c r="AS1004" i="7"/>
  <c r="AR1004" i="7"/>
  <c r="AQ1004" i="7"/>
  <c r="Y1004" i="7"/>
  <c r="X1004" i="7"/>
  <c r="W1004" i="7"/>
  <c r="T1004" i="7"/>
  <c r="S1004" i="7"/>
  <c r="R1004" i="7"/>
  <c r="O1004" i="7"/>
  <c r="N1004" i="7"/>
  <c r="M1004" i="7"/>
  <c r="J1004" i="7"/>
  <c r="I1004" i="7"/>
  <c r="H1004" i="7"/>
  <c r="E1004" i="7"/>
  <c r="D1004" i="7"/>
  <c r="C1004" i="7"/>
  <c r="BM1003" i="7"/>
  <c r="BL1003" i="7"/>
  <c r="BK1003" i="7"/>
  <c r="AI1003" i="7"/>
  <c r="AH1003" i="7"/>
  <c r="AG1003" i="7"/>
  <c r="AB1003" i="7"/>
  <c r="O1003" i="7"/>
  <c r="N1003" i="7"/>
  <c r="M1003" i="7"/>
  <c r="J1003" i="7"/>
  <c r="I1003" i="7"/>
  <c r="H1003" i="7"/>
  <c r="E1003" i="7"/>
  <c r="D1003" i="7"/>
  <c r="C1003" i="7"/>
  <c r="BC1000" i="7"/>
  <c r="BB1000" i="7"/>
  <c r="BA1000" i="7"/>
  <c r="AX1000" i="7"/>
  <c r="AW1000" i="7"/>
  <c r="AV1000" i="7"/>
  <c r="AS1000" i="7"/>
  <c r="AR1000" i="7"/>
  <c r="AQ1000" i="7"/>
  <c r="AC1000" i="7"/>
  <c r="T1000" i="7"/>
  <c r="S1000" i="7"/>
  <c r="R1000" i="7"/>
  <c r="J1000" i="7"/>
  <c r="I1000" i="7"/>
  <c r="H1000" i="7"/>
  <c r="E1000" i="7"/>
  <c r="D1000" i="7"/>
  <c r="C1000" i="7"/>
  <c r="BC999" i="7"/>
  <c r="BB999" i="7"/>
  <c r="BA999" i="7"/>
  <c r="AS999" i="7"/>
  <c r="AR999" i="7"/>
  <c r="AQ999" i="7"/>
  <c r="AI999" i="7"/>
  <c r="AH999" i="7"/>
  <c r="AG999" i="7"/>
  <c r="AD999" i="7"/>
  <c r="AC999" i="7"/>
  <c r="AB999" i="7"/>
  <c r="Y999" i="7"/>
  <c r="X999" i="7"/>
  <c r="W999" i="7"/>
  <c r="T999" i="7"/>
  <c r="S999" i="7"/>
  <c r="R999" i="7"/>
  <c r="O999" i="7"/>
  <c r="N999" i="7"/>
  <c r="M999" i="7"/>
  <c r="J999" i="7"/>
  <c r="I999" i="7"/>
  <c r="H999" i="7"/>
  <c r="BC998" i="7"/>
  <c r="BB998" i="7"/>
  <c r="BA998" i="7"/>
  <c r="AX998" i="7"/>
  <c r="AW998" i="7"/>
  <c r="AV998" i="7"/>
  <c r="AS998" i="7"/>
  <c r="AR998" i="7"/>
  <c r="AQ998" i="7"/>
  <c r="AN998" i="7"/>
  <c r="AM998" i="7"/>
  <c r="AL998" i="7"/>
  <c r="AI998" i="7"/>
  <c r="AH998" i="7"/>
  <c r="AG998" i="7"/>
  <c r="AD998" i="7"/>
  <c r="AC998" i="7"/>
  <c r="AB998" i="7"/>
  <c r="Y998" i="7"/>
  <c r="X998" i="7"/>
  <c r="W998" i="7"/>
  <c r="T998" i="7"/>
  <c r="S998" i="7"/>
  <c r="R998" i="7"/>
  <c r="O998" i="7"/>
  <c r="N998" i="7"/>
  <c r="M998" i="7"/>
  <c r="J998" i="7"/>
  <c r="I998" i="7"/>
  <c r="H998" i="7"/>
  <c r="E998" i="7"/>
  <c r="D998" i="7"/>
  <c r="C998" i="7"/>
  <c r="BC997" i="7"/>
  <c r="BB997" i="7"/>
  <c r="BA997" i="7"/>
  <c r="AI997" i="7"/>
  <c r="AH997" i="7"/>
  <c r="AG997" i="7"/>
  <c r="AB997" i="7"/>
  <c r="O997" i="7"/>
  <c r="M997" i="7"/>
  <c r="J997" i="7"/>
  <c r="I997" i="7"/>
  <c r="H997" i="7"/>
  <c r="J992" i="7"/>
  <c r="I992" i="7"/>
  <c r="H992" i="7"/>
  <c r="J989" i="7"/>
  <c r="I989" i="7"/>
  <c r="H989" i="7"/>
  <c r="BC986" i="7"/>
  <c r="BB986" i="7"/>
  <c r="BA986" i="7"/>
  <c r="AS986" i="7"/>
  <c r="AR986" i="7"/>
  <c r="AQ986" i="7"/>
  <c r="AN986" i="7"/>
  <c r="AM986" i="7"/>
  <c r="AL986" i="7"/>
  <c r="AD986" i="7"/>
  <c r="AC986" i="7"/>
  <c r="AB986" i="7"/>
  <c r="T986" i="7"/>
  <c r="S986" i="7"/>
  <c r="R986" i="7"/>
  <c r="O986" i="7"/>
  <c r="N986" i="7"/>
  <c r="M986" i="7"/>
  <c r="J986" i="7"/>
  <c r="I986" i="7"/>
  <c r="H986" i="7"/>
  <c r="E986" i="7"/>
  <c r="D986" i="7"/>
  <c r="C986" i="7"/>
  <c r="AI984" i="7"/>
  <c r="AH984" i="7"/>
  <c r="AG984" i="7"/>
  <c r="O984" i="7"/>
  <c r="N984" i="7"/>
  <c r="J984" i="7"/>
  <c r="I984" i="7"/>
  <c r="H984" i="7"/>
  <c r="E984" i="7"/>
  <c r="D984" i="7"/>
  <c r="C984" i="7"/>
  <c r="J983" i="7"/>
  <c r="I983" i="7"/>
  <c r="H983" i="7"/>
  <c r="BC982" i="7"/>
  <c r="BB982" i="7"/>
  <c r="BA982" i="7"/>
  <c r="AS982" i="7"/>
  <c r="AR982" i="7"/>
  <c r="AQ982" i="7"/>
  <c r="AI982" i="7"/>
  <c r="AH982" i="7"/>
  <c r="AG982" i="7"/>
  <c r="AD982" i="7"/>
  <c r="T982" i="7"/>
  <c r="S982" i="7"/>
  <c r="O982" i="7"/>
  <c r="N982" i="7"/>
  <c r="M982" i="7"/>
  <c r="J982" i="7"/>
  <c r="I982" i="7"/>
  <c r="H982" i="7"/>
  <c r="BC981" i="7"/>
  <c r="BB981" i="7"/>
  <c r="BA981" i="7"/>
  <c r="J981" i="7"/>
  <c r="I981" i="7"/>
  <c r="H981" i="7"/>
  <c r="BC980" i="7"/>
  <c r="BB980" i="7"/>
  <c r="BA980" i="7"/>
  <c r="AX980" i="7"/>
  <c r="AW980" i="7"/>
  <c r="AV980" i="7"/>
  <c r="AS980" i="7"/>
  <c r="AR980" i="7"/>
  <c r="AQ980" i="7"/>
  <c r="AI980" i="7"/>
  <c r="AH980" i="7"/>
  <c r="AG980" i="7"/>
  <c r="AD980" i="7"/>
  <c r="AC980" i="7"/>
  <c r="AB980" i="7"/>
  <c r="Y980" i="7"/>
  <c r="X980" i="7"/>
  <c r="W980" i="7"/>
  <c r="T980" i="7"/>
  <c r="S980" i="7"/>
  <c r="R980" i="7"/>
  <c r="O980" i="7"/>
  <c r="N980" i="7"/>
  <c r="M980" i="7"/>
  <c r="J980" i="7"/>
  <c r="I980" i="7"/>
  <c r="H980" i="7"/>
  <c r="E980" i="7"/>
  <c r="D980" i="7"/>
  <c r="C980" i="7"/>
  <c r="AX979" i="7"/>
  <c r="AW979" i="7"/>
  <c r="AV979" i="7"/>
  <c r="AB979" i="7"/>
  <c r="O979" i="7"/>
  <c r="N979" i="7"/>
  <c r="BC978" i="7"/>
  <c r="BB978" i="7"/>
  <c r="BA978" i="7"/>
  <c r="AX978" i="7"/>
  <c r="AW978" i="7"/>
  <c r="AV978" i="7"/>
  <c r="AS978" i="7"/>
  <c r="AR978" i="7"/>
  <c r="AQ978" i="7"/>
  <c r="AN978" i="7"/>
  <c r="AM978" i="7"/>
  <c r="AL978" i="7"/>
  <c r="AD978" i="7"/>
  <c r="AC978" i="7"/>
  <c r="AB978" i="7"/>
  <c r="Y978" i="7"/>
  <c r="X978" i="7"/>
  <c r="W978" i="7"/>
  <c r="T978" i="7"/>
  <c r="S978" i="7"/>
  <c r="R978" i="7"/>
  <c r="O978" i="7"/>
  <c r="N978" i="7"/>
  <c r="M978" i="7"/>
  <c r="J978" i="7"/>
  <c r="I978" i="7"/>
  <c r="H978" i="7"/>
  <c r="E978" i="7"/>
  <c r="D978" i="7"/>
  <c r="C978" i="7"/>
  <c r="BC977" i="7"/>
  <c r="BB977" i="7"/>
  <c r="BA977" i="7"/>
  <c r="AX977" i="7"/>
  <c r="AW977" i="7"/>
  <c r="AV977" i="7"/>
  <c r="AS977" i="7"/>
  <c r="AR977" i="7"/>
  <c r="AQ977" i="7"/>
  <c r="AD977" i="7"/>
  <c r="AC977" i="7"/>
  <c r="AB977" i="7"/>
  <c r="T977" i="7"/>
  <c r="S977" i="7"/>
  <c r="R977" i="7"/>
  <c r="O977" i="7"/>
  <c r="N977" i="7"/>
  <c r="J977" i="7"/>
  <c r="I977" i="7"/>
  <c r="H977" i="7"/>
  <c r="AX975" i="7"/>
  <c r="AW975" i="7"/>
  <c r="AV975" i="7"/>
  <c r="AI974" i="7"/>
  <c r="AH974" i="7"/>
  <c r="AG974" i="7"/>
  <c r="AD974" i="7"/>
  <c r="S974" i="7"/>
  <c r="R974" i="7"/>
  <c r="O974" i="7"/>
  <c r="N974" i="7"/>
  <c r="M974" i="7"/>
  <c r="J974" i="7"/>
  <c r="I974" i="7"/>
  <c r="H974" i="7"/>
  <c r="BC972" i="7"/>
  <c r="BB972" i="7"/>
  <c r="BA972" i="7"/>
  <c r="AX972" i="7"/>
  <c r="AW972" i="7"/>
  <c r="AV972" i="7"/>
  <c r="AS972" i="7"/>
  <c r="AR972" i="7"/>
  <c r="AQ972" i="7"/>
  <c r="AD972" i="7"/>
  <c r="AC972" i="7"/>
  <c r="AB972" i="7"/>
  <c r="Y972" i="7"/>
  <c r="X972" i="7"/>
  <c r="W972" i="7"/>
  <c r="T972" i="7"/>
  <c r="S972" i="7"/>
  <c r="R972" i="7"/>
  <c r="O972" i="7"/>
  <c r="N972" i="7"/>
  <c r="M972" i="7"/>
  <c r="J972" i="7"/>
  <c r="I972" i="7"/>
  <c r="H972" i="7"/>
  <c r="BC971" i="7"/>
  <c r="BB971" i="7"/>
  <c r="BA971" i="7"/>
  <c r="AS971" i="7"/>
  <c r="AR971" i="7"/>
  <c r="AQ971" i="7"/>
  <c r="Y971" i="7"/>
  <c r="X971" i="7"/>
  <c r="W971" i="7"/>
  <c r="O971" i="7"/>
  <c r="N971" i="7"/>
  <c r="M971" i="7"/>
  <c r="J971" i="7"/>
  <c r="I971" i="7"/>
  <c r="H971" i="7"/>
  <c r="E971" i="7"/>
  <c r="D971" i="7"/>
  <c r="C971" i="7"/>
  <c r="BC970" i="7"/>
  <c r="BB970" i="7"/>
  <c r="BA970" i="7"/>
  <c r="AS970" i="7"/>
  <c r="AR970" i="7"/>
  <c r="AQ970" i="7"/>
  <c r="AD970" i="7"/>
  <c r="AC970" i="7"/>
  <c r="R970" i="7"/>
  <c r="O970" i="7"/>
  <c r="N970" i="7"/>
  <c r="M970" i="7"/>
  <c r="J970" i="7"/>
  <c r="I970" i="7"/>
  <c r="H970" i="7"/>
  <c r="AX967" i="7"/>
  <c r="AW967" i="7"/>
  <c r="AV967" i="7"/>
  <c r="AI967" i="7"/>
  <c r="AH967" i="7"/>
  <c r="AG967" i="7"/>
  <c r="AD967" i="7"/>
  <c r="AC967" i="7"/>
  <c r="AB967" i="7"/>
  <c r="T967" i="7"/>
  <c r="S967" i="7"/>
  <c r="R967" i="7"/>
  <c r="O967" i="7"/>
  <c r="N967" i="7"/>
  <c r="M967" i="7"/>
  <c r="J967" i="7"/>
  <c r="I967" i="7"/>
  <c r="H967" i="7"/>
  <c r="E967" i="7"/>
  <c r="D967" i="7"/>
  <c r="C967" i="7"/>
  <c r="BC966" i="7"/>
  <c r="BB966" i="7"/>
  <c r="BA966" i="7"/>
  <c r="AX966" i="7"/>
  <c r="AW966" i="7"/>
  <c r="AV966" i="7"/>
  <c r="AS966" i="7"/>
  <c r="AR966" i="7"/>
  <c r="AQ966" i="7"/>
  <c r="AN966" i="7"/>
  <c r="AM966" i="7"/>
  <c r="AL966" i="7"/>
  <c r="AD966" i="7"/>
  <c r="AC966" i="7"/>
  <c r="AB966" i="7"/>
  <c r="Y966" i="7"/>
  <c r="X966" i="7"/>
  <c r="W966" i="7"/>
  <c r="R966" i="7"/>
  <c r="O966" i="7"/>
  <c r="N966" i="7"/>
  <c r="M966" i="7"/>
  <c r="J966" i="7"/>
  <c r="I966" i="7"/>
  <c r="H966" i="7"/>
  <c r="AS965" i="7"/>
  <c r="AR965" i="7"/>
  <c r="AQ965" i="7"/>
  <c r="AN965" i="7"/>
  <c r="AM965" i="7"/>
  <c r="AL965" i="7"/>
  <c r="AD965" i="7"/>
  <c r="AC965" i="7"/>
  <c r="AB965" i="7"/>
  <c r="T965" i="7"/>
  <c r="R965" i="7"/>
  <c r="O965" i="7"/>
  <c r="N965" i="7"/>
  <c r="M965" i="7"/>
  <c r="J965" i="7"/>
  <c r="I965" i="7"/>
  <c r="H965" i="7"/>
  <c r="AI962" i="7"/>
  <c r="AH962" i="7"/>
  <c r="AG962" i="7"/>
  <c r="R962" i="7"/>
  <c r="O962" i="7"/>
  <c r="N962" i="7"/>
  <c r="M962" i="7"/>
  <c r="J962" i="7"/>
  <c r="I962" i="7"/>
  <c r="H962" i="7"/>
  <c r="E962" i="7"/>
  <c r="D962" i="7"/>
  <c r="C962" i="7"/>
  <c r="BC961" i="7"/>
  <c r="BB961" i="7"/>
  <c r="BA961" i="7"/>
  <c r="AX961" i="7"/>
  <c r="AW961" i="7"/>
  <c r="AV961" i="7"/>
  <c r="AS961" i="7"/>
  <c r="AR961" i="7"/>
  <c r="AQ961" i="7"/>
  <c r="AD961" i="7"/>
  <c r="AC961" i="7"/>
  <c r="AB961" i="7"/>
  <c r="T961" i="7"/>
  <c r="S961" i="7"/>
  <c r="R961" i="7"/>
  <c r="O961" i="7"/>
  <c r="N961" i="7"/>
  <c r="M961" i="7"/>
  <c r="AI960" i="7"/>
  <c r="AH960" i="7"/>
  <c r="AG960" i="7"/>
  <c r="AD960" i="7"/>
  <c r="S960" i="7"/>
  <c r="R960" i="7"/>
  <c r="M960" i="7"/>
  <c r="J960" i="7"/>
  <c r="I960" i="7"/>
  <c r="H960" i="7"/>
  <c r="AS958" i="7"/>
  <c r="AR958" i="7"/>
  <c r="AQ958" i="7"/>
  <c r="AI958" i="7"/>
  <c r="AH958" i="7"/>
  <c r="AG958" i="7"/>
  <c r="AD958" i="7"/>
  <c r="AC958" i="7"/>
  <c r="AB958" i="7"/>
  <c r="Y958" i="7"/>
  <c r="W958" i="7"/>
  <c r="T958" i="7"/>
  <c r="S958" i="7"/>
  <c r="R958" i="7"/>
  <c r="O958" i="7"/>
  <c r="N958" i="7"/>
  <c r="M958" i="7"/>
  <c r="J958" i="7"/>
  <c r="I958" i="7"/>
  <c r="H958" i="7"/>
  <c r="E958" i="7"/>
  <c r="D958" i="7"/>
  <c r="C958" i="7"/>
  <c r="BC956" i="7"/>
  <c r="BB956" i="7"/>
  <c r="BA956" i="7"/>
  <c r="AX956" i="7"/>
  <c r="AW956" i="7"/>
  <c r="AV956" i="7"/>
  <c r="AS956" i="7"/>
  <c r="AR956" i="7"/>
  <c r="AQ956" i="7"/>
  <c r="AI956" i="7"/>
  <c r="AH956" i="7"/>
  <c r="AG956" i="7"/>
  <c r="AD956" i="7"/>
  <c r="AC956" i="7"/>
  <c r="AB956" i="7"/>
  <c r="T956" i="7"/>
  <c r="S956" i="7"/>
  <c r="R956" i="7"/>
  <c r="O956" i="7"/>
  <c r="N956" i="7"/>
  <c r="M956" i="7"/>
  <c r="J956" i="7"/>
  <c r="I956" i="7"/>
  <c r="H956" i="7"/>
  <c r="E956" i="7"/>
  <c r="D956" i="7"/>
  <c r="C956" i="7"/>
  <c r="AX955" i="7"/>
  <c r="AW955" i="7"/>
  <c r="AV955" i="7"/>
  <c r="J955" i="7"/>
  <c r="I955" i="7"/>
  <c r="H955" i="7"/>
  <c r="BC952" i="7"/>
  <c r="BB952" i="7"/>
  <c r="BA952" i="7"/>
  <c r="AX952" i="7"/>
  <c r="AW952" i="7"/>
  <c r="AV952" i="7"/>
  <c r="AS952" i="7"/>
  <c r="AR952" i="7"/>
  <c r="AQ952" i="7"/>
  <c r="AN952" i="7"/>
  <c r="AM952" i="7"/>
  <c r="AL952" i="7"/>
  <c r="AI952" i="7"/>
  <c r="AH952" i="7"/>
  <c r="AG952" i="7"/>
  <c r="AD952" i="7"/>
  <c r="AC952" i="7"/>
  <c r="AB952" i="7"/>
  <c r="Y952" i="7"/>
  <c r="X952" i="7"/>
  <c r="W952" i="7"/>
  <c r="T952" i="7"/>
  <c r="S952" i="7"/>
  <c r="R952" i="7"/>
  <c r="O952" i="7"/>
  <c r="N952" i="7"/>
  <c r="M952" i="7"/>
  <c r="J952" i="7"/>
  <c r="I952" i="7"/>
  <c r="H952" i="7"/>
  <c r="E952" i="7"/>
  <c r="D952" i="7"/>
  <c r="C952" i="7"/>
  <c r="BC951" i="7"/>
  <c r="BB951" i="7"/>
  <c r="BA951" i="7"/>
  <c r="AS951" i="7"/>
  <c r="AR951" i="7"/>
  <c r="AQ951" i="7"/>
  <c r="AI951" i="7"/>
  <c r="AH951" i="7"/>
  <c r="AG951" i="7"/>
  <c r="T951" i="7"/>
  <c r="R951" i="7"/>
  <c r="N951" i="7"/>
  <c r="J951" i="7"/>
  <c r="I951" i="7"/>
  <c r="H951" i="7"/>
  <c r="E951" i="7"/>
  <c r="D951" i="7"/>
  <c r="C951" i="7"/>
  <c r="AS948" i="7"/>
  <c r="AR948" i="7"/>
  <c r="AQ948" i="7"/>
  <c r="AI948" i="7"/>
  <c r="AH948" i="7"/>
  <c r="AG948" i="7"/>
  <c r="AD948" i="7"/>
  <c r="AC948" i="7"/>
  <c r="AB948" i="7"/>
  <c r="Y948" i="7"/>
  <c r="X948" i="7"/>
  <c r="T948" i="7"/>
  <c r="S948" i="7"/>
  <c r="R948" i="7"/>
  <c r="O948" i="7"/>
  <c r="N948" i="7"/>
  <c r="M948" i="7"/>
  <c r="J948" i="7"/>
  <c r="I948" i="7"/>
  <c r="H948" i="7"/>
  <c r="E948" i="7"/>
  <c r="D948" i="7"/>
  <c r="C948" i="7"/>
  <c r="BK947" i="7"/>
  <c r="BC947" i="7"/>
  <c r="BB947" i="7"/>
  <c r="BA947" i="7"/>
  <c r="AX947" i="7"/>
  <c r="AW947" i="7"/>
  <c r="AV947" i="7"/>
  <c r="AS947" i="7"/>
  <c r="AR947" i="7"/>
  <c r="AQ947" i="7"/>
  <c r="AN947" i="7"/>
  <c r="AM947" i="7"/>
  <c r="AL947" i="7"/>
  <c r="AI947" i="7"/>
  <c r="AH947" i="7"/>
  <c r="AG947" i="7"/>
  <c r="AD947" i="7"/>
  <c r="AC947" i="7"/>
  <c r="AB947" i="7"/>
  <c r="Y947" i="7"/>
  <c r="X947" i="7"/>
  <c r="W947" i="7"/>
  <c r="T947" i="7"/>
  <c r="S947" i="7"/>
  <c r="R947" i="7"/>
  <c r="O947" i="7"/>
  <c r="N947" i="7"/>
  <c r="M947" i="7"/>
  <c r="J947" i="7"/>
  <c r="I947" i="7"/>
  <c r="H947" i="7"/>
  <c r="E947" i="7"/>
  <c r="D947" i="7"/>
  <c r="C947" i="7"/>
  <c r="J946" i="7"/>
  <c r="I946" i="7"/>
  <c r="H946" i="7"/>
  <c r="BC944" i="7"/>
  <c r="BB944" i="7"/>
  <c r="BA944" i="7"/>
  <c r="AS944" i="7"/>
  <c r="AR944" i="7"/>
  <c r="AQ944" i="7"/>
  <c r="AD944" i="7"/>
  <c r="AC944" i="7"/>
  <c r="AB944" i="7"/>
  <c r="T944" i="7"/>
  <c r="S944" i="7"/>
  <c r="R944" i="7"/>
  <c r="O944" i="7"/>
  <c r="N944" i="7"/>
  <c r="M944" i="7"/>
  <c r="J944" i="7"/>
  <c r="I944" i="7"/>
  <c r="H944" i="7"/>
  <c r="BC942" i="7"/>
  <c r="BB942" i="7"/>
  <c r="BA942" i="7"/>
  <c r="AV942" i="7"/>
  <c r="AS942" i="7"/>
  <c r="AR942" i="7"/>
  <c r="AQ942" i="7"/>
  <c r="AN942" i="7"/>
  <c r="AM942" i="7"/>
  <c r="AL942" i="7"/>
  <c r="AI942" i="7"/>
  <c r="AH942" i="7"/>
  <c r="AG942" i="7"/>
  <c r="AD942" i="7"/>
  <c r="AC942" i="7"/>
  <c r="AB942" i="7"/>
  <c r="Y942" i="7"/>
  <c r="X942" i="7"/>
  <c r="W942" i="7"/>
  <c r="T942" i="7"/>
  <c r="S942" i="7"/>
  <c r="R942" i="7"/>
  <c r="O942" i="7"/>
  <c r="N942" i="7"/>
  <c r="M942" i="7"/>
  <c r="J942" i="7"/>
  <c r="I942" i="7"/>
  <c r="H942" i="7"/>
  <c r="E942" i="7"/>
  <c r="D942" i="7"/>
  <c r="C942" i="7"/>
  <c r="BC939" i="7"/>
  <c r="BB939" i="7"/>
  <c r="BA939" i="7"/>
  <c r="AS939" i="7"/>
  <c r="AR939" i="7"/>
  <c r="AQ939" i="7"/>
  <c r="AN939" i="7"/>
  <c r="AM939" i="7"/>
  <c r="AL939" i="7"/>
  <c r="AI939" i="7"/>
  <c r="AH939" i="7"/>
  <c r="AG939" i="7"/>
  <c r="AD939" i="7"/>
  <c r="AC939" i="7"/>
  <c r="AB939" i="7"/>
  <c r="Y939" i="7"/>
  <c r="X939" i="7"/>
  <c r="W939" i="7"/>
  <c r="T939" i="7"/>
  <c r="S939" i="7"/>
  <c r="R939" i="7"/>
  <c r="O939" i="7"/>
  <c r="N939" i="7"/>
  <c r="M939" i="7"/>
  <c r="J939" i="7"/>
  <c r="I939" i="7"/>
  <c r="H939" i="7"/>
  <c r="E939" i="7"/>
  <c r="D939" i="7"/>
  <c r="C939" i="7"/>
  <c r="AI938" i="7"/>
  <c r="AH938" i="7"/>
  <c r="AG938" i="7"/>
  <c r="Y938" i="7"/>
  <c r="X938" i="7"/>
  <c r="W938" i="7"/>
  <c r="O938" i="7"/>
  <c r="N938" i="7"/>
  <c r="M938" i="7"/>
  <c r="J938" i="7"/>
  <c r="I938" i="7"/>
  <c r="H938" i="7"/>
  <c r="BC937" i="7"/>
  <c r="BB937" i="7"/>
  <c r="BA937" i="7"/>
  <c r="AS937" i="7"/>
  <c r="AR937" i="7"/>
  <c r="AQ937" i="7"/>
  <c r="AD937" i="7"/>
  <c r="Y937" i="7"/>
  <c r="X937" i="7"/>
  <c r="W937" i="7"/>
  <c r="T937" i="7"/>
  <c r="S937" i="7"/>
  <c r="R937" i="7"/>
  <c r="J937" i="7"/>
  <c r="I937" i="7"/>
  <c r="H937" i="7"/>
  <c r="E937" i="7"/>
  <c r="D937" i="7"/>
  <c r="C937" i="7"/>
  <c r="BC936" i="7"/>
  <c r="BB936" i="7"/>
  <c r="BA936" i="7"/>
  <c r="AX936" i="7"/>
  <c r="AW936" i="7"/>
  <c r="AV936" i="7"/>
  <c r="AI936" i="7"/>
  <c r="AH936" i="7"/>
  <c r="AG936" i="7"/>
  <c r="AD936" i="7"/>
  <c r="AB936" i="7"/>
  <c r="Y936" i="7"/>
  <c r="X936" i="7"/>
  <c r="W936" i="7"/>
  <c r="T936" i="7"/>
  <c r="S936" i="7"/>
  <c r="O936" i="7"/>
  <c r="N936" i="7"/>
  <c r="M936" i="7"/>
  <c r="J936" i="7"/>
  <c r="I936" i="7"/>
  <c r="H936" i="7"/>
  <c r="E936" i="7"/>
  <c r="D936" i="7"/>
  <c r="C936" i="7"/>
  <c r="BC935" i="7"/>
  <c r="BB935" i="7"/>
  <c r="BA935" i="7"/>
  <c r="AS935" i="7"/>
  <c r="AR935" i="7"/>
  <c r="AQ935" i="7"/>
  <c r="AN935" i="7"/>
  <c r="AM935" i="7"/>
  <c r="AL935" i="7"/>
  <c r="AD935" i="7"/>
  <c r="AC935" i="7"/>
  <c r="AB935" i="7"/>
  <c r="Y935" i="7"/>
  <c r="X935" i="7"/>
  <c r="W935" i="7"/>
  <c r="T935" i="7"/>
  <c r="S935" i="7"/>
  <c r="R935" i="7"/>
  <c r="O935" i="7"/>
  <c r="N935" i="7"/>
  <c r="M935" i="7"/>
  <c r="J935" i="7"/>
  <c r="I935" i="7"/>
  <c r="H935" i="7"/>
  <c r="E935" i="7"/>
  <c r="D935" i="7"/>
  <c r="C935" i="7"/>
  <c r="BC934" i="7"/>
  <c r="BB934" i="7"/>
  <c r="BA934" i="7"/>
  <c r="AS934" i="7"/>
  <c r="AR934" i="7"/>
  <c r="AQ934" i="7"/>
  <c r="AD934" i="7"/>
  <c r="AC934" i="7"/>
  <c r="AB934" i="7"/>
  <c r="O934" i="7"/>
  <c r="N934" i="7"/>
  <c r="M934" i="7"/>
  <c r="J934" i="7"/>
  <c r="I934" i="7"/>
  <c r="H934" i="7"/>
  <c r="E934" i="7"/>
  <c r="D934" i="7"/>
  <c r="C934" i="7"/>
  <c r="BC931" i="7"/>
  <c r="BB931" i="7"/>
  <c r="BA931" i="7"/>
  <c r="AS931" i="7"/>
  <c r="AR931" i="7"/>
  <c r="AQ931" i="7"/>
  <c r="J931" i="7"/>
  <c r="I931" i="7"/>
  <c r="H931" i="7"/>
  <c r="BC928" i="7"/>
  <c r="BB928" i="7"/>
  <c r="BA928" i="7"/>
  <c r="AS928" i="7"/>
  <c r="AR928" i="7"/>
  <c r="AQ928" i="7"/>
  <c r="AD928" i="7"/>
  <c r="AC928" i="7"/>
  <c r="AB928" i="7"/>
  <c r="Y928" i="7"/>
  <c r="X928" i="7"/>
  <c r="W928" i="7"/>
  <c r="T928" i="7"/>
  <c r="S928" i="7"/>
  <c r="R928" i="7"/>
  <c r="N928" i="7"/>
  <c r="M928" i="7"/>
  <c r="J928" i="7"/>
  <c r="I928" i="7"/>
  <c r="H928" i="7"/>
  <c r="BC927" i="7"/>
  <c r="BB927" i="7"/>
  <c r="BA927" i="7"/>
  <c r="AS927" i="7"/>
  <c r="AR927" i="7"/>
  <c r="AQ927" i="7"/>
  <c r="AD927" i="7"/>
  <c r="AB927" i="7"/>
  <c r="Y927" i="7"/>
  <c r="X927" i="7"/>
  <c r="W927" i="7"/>
  <c r="T927" i="7"/>
  <c r="S927" i="7"/>
  <c r="R927" i="7"/>
  <c r="O927" i="7"/>
  <c r="N927" i="7"/>
  <c r="M927" i="7"/>
  <c r="J927" i="7"/>
  <c r="I927" i="7"/>
  <c r="H927" i="7"/>
  <c r="E927" i="7"/>
  <c r="D927" i="7"/>
  <c r="C927" i="7"/>
  <c r="BC926" i="7"/>
  <c r="BB926" i="7"/>
  <c r="BA926" i="7"/>
  <c r="AS926" i="7"/>
  <c r="AR926" i="7"/>
  <c r="AQ926" i="7"/>
  <c r="AI926" i="7"/>
  <c r="AH926" i="7"/>
  <c r="AG926" i="7"/>
  <c r="AD926" i="7"/>
  <c r="AC926" i="7"/>
  <c r="AB926" i="7"/>
  <c r="Y926" i="7"/>
  <c r="X926" i="7"/>
  <c r="W926" i="7"/>
  <c r="T926" i="7"/>
  <c r="S926" i="7"/>
  <c r="R926" i="7"/>
  <c r="O926" i="7"/>
  <c r="N926" i="7"/>
  <c r="M926" i="7"/>
  <c r="J926" i="7"/>
  <c r="I926" i="7"/>
  <c r="H926" i="7"/>
  <c r="BC923" i="7"/>
  <c r="BB923" i="7"/>
  <c r="BA923" i="7"/>
  <c r="AS923" i="7"/>
  <c r="AR923" i="7"/>
  <c r="AQ923" i="7"/>
  <c r="AI923" i="7"/>
  <c r="AH923" i="7"/>
  <c r="AG923" i="7"/>
  <c r="AD923" i="7"/>
  <c r="AC923" i="7"/>
  <c r="AB923" i="7"/>
  <c r="Y923" i="7"/>
  <c r="X923" i="7"/>
  <c r="W923" i="7"/>
  <c r="T923" i="7"/>
  <c r="S923" i="7"/>
  <c r="R923" i="7"/>
  <c r="O923" i="7"/>
  <c r="N923" i="7"/>
  <c r="M923" i="7"/>
  <c r="J923" i="7"/>
  <c r="I923" i="7"/>
  <c r="H923" i="7"/>
  <c r="E923" i="7"/>
  <c r="D923" i="7"/>
  <c r="C923" i="7"/>
  <c r="BC922" i="7"/>
  <c r="BB922" i="7"/>
  <c r="BA922" i="7"/>
  <c r="AX922" i="7"/>
  <c r="AW922" i="7"/>
  <c r="AV922" i="7"/>
  <c r="AS922" i="7"/>
  <c r="AR922" i="7"/>
  <c r="AQ922" i="7"/>
  <c r="AC922" i="7"/>
  <c r="AB922" i="7"/>
  <c r="Y922" i="7"/>
  <c r="X922" i="7"/>
  <c r="W922" i="7"/>
  <c r="T922" i="7"/>
  <c r="O922" i="7"/>
  <c r="N922" i="7"/>
  <c r="M922" i="7"/>
  <c r="J922" i="7"/>
  <c r="I922" i="7"/>
  <c r="H922" i="7"/>
  <c r="E922" i="7"/>
  <c r="D922" i="7"/>
  <c r="C922" i="7"/>
  <c r="J921" i="7"/>
  <c r="I921" i="7"/>
  <c r="H921" i="7"/>
  <c r="O919" i="7"/>
  <c r="N919" i="7"/>
  <c r="M919" i="7"/>
  <c r="J919" i="7"/>
  <c r="I919" i="7"/>
  <c r="H919" i="7"/>
  <c r="BC917" i="7"/>
  <c r="BB917" i="7"/>
  <c r="BA917" i="7"/>
  <c r="J917" i="7"/>
  <c r="I917" i="7"/>
  <c r="H917" i="7"/>
  <c r="AI915" i="7"/>
  <c r="AH915" i="7"/>
  <c r="AG915" i="7"/>
  <c r="AD915" i="7"/>
  <c r="AC915" i="7"/>
  <c r="AB915" i="7"/>
  <c r="S915" i="7"/>
  <c r="R915" i="7"/>
  <c r="O915" i="7"/>
  <c r="N915" i="7"/>
  <c r="M915" i="7"/>
  <c r="J915" i="7"/>
  <c r="I915" i="7"/>
  <c r="H915" i="7"/>
  <c r="E915" i="7"/>
  <c r="D915" i="7"/>
  <c r="C915" i="7"/>
  <c r="J912" i="7"/>
  <c r="I912" i="7"/>
  <c r="H912" i="7"/>
  <c r="BC911" i="7"/>
  <c r="BB911" i="7"/>
  <c r="BA911" i="7"/>
  <c r="AI911" i="7"/>
  <c r="AH911" i="7"/>
  <c r="AG911" i="7"/>
  <c r="AD911" i="7"/>
  <c r="AC911" i="7"/>
  <c r="AB911" i="7"/>
  <c r="Y911" i="7"/>
  <c r="X911" i="7"/>
  <c r="W911" i="7"/>
  <c r="J911" i="7"/>
  <c r="I911" i="7"/>
  <c r="H911" i="7"/>
  <c r="E911" i="7"/>
  <c r="D911" i="7"/>
  <c r="C911" i="7"/>
  <c r="BC910" i="7"/>
  <c r="BB910" i="7"/>
  <c r="BA910" i="7"/>
  <c r="AI909" i="7"/>
  <c r="AH909" i="7"/>
  <c r="AG909" i="7"/>
  <c r="J909" i="7"/>
  <c r="I909" i="7"/>
  <c r="H909" i="7"/>
  <c r="E909" i="7"/>
  <c r="D909" i="7"/>
  <c r="C909" i="7"/>
  <c r="J908" i="7"/>
  <c r="I908" i="7"/>
  <c r="H908" i="7"/>
  <c r="BM902" i="7"/>
  <c r="BL902" i="7"/>
  <c r="BK902" i="7"/>
  <c r="BF902" i="7"/>
  <c r="AX902" i="7"/>
  <c r="AW902" i="7"/>
  <c r="AV902" i="7"/>
  <c r="J901" i="7"/>
  <c r="I901" i="7"/>
  <c r="H901" i="7"/>
  <c r="BH899" i="7"/>
  <c r="BG899" i="7"/>
  <c r="BF899" i="7"/>
  <c r="BC899" i="7"/>
  <c r="AX899" i="7"/>
  <c r="AW899" i="7"/>
  <c r="AV899" i="7"/>
  <c r="AS899" i="7"/>
  <c r="AR899" i="7"/>
  <c r="AQ899" i="7"/>
  <c r="AD899" i="7"/>
  <c r="AC899" i="7"/>
  <c r="AB899" i="7"/>
  <c r="Y899" i="7"/>
  <c r="X899" i="7"/>
  <c r="T899" i="7"/>
  <c r="S899" i="7"/>
  <c r="R899" i="7"/>
  <c r="O899" i="7"/>
  <c r="N899" i="7"/>
  <c r="M899" i="7"/>
  <c r="J899" i="7"/>
  <c r="I899" i="7"/>
  <c r="H899" i="7"/>
  <c r="E899" i="7"/>
  <c r="D899" i="7"/>
  <c r="C899" i="7"/>
  <c r="AG898" i="7"/>
  <c r="T898" i="7"/>
  <c r="J898" i="7"/>
  <c r="I898" i="7"/>
  <c r="H898" i="7"/>
  <c r="E898" i="7"/>
  <c r="D898" i="7"/>
  <c r="C898" i="7"/>
  <c r="BM897" i="7"/>
  <c r="BL897" i="7"/>
  <c r="BK897" i="7"/>
  <c r="BC897" i="7"/>
  <c r="BB897" i="7"/>
  <c r="BA897" i="7"/>
  <c r="AX897" i="7"/>
  <c r="AW897" i="7"/>
  <c r="AV897" i="7"/>
  <c r="AS897" i="7"/>
  <c r="AR897" i="7"/>
  <c r="AQ897" i="7"/>
  <c r="AV896" i="7"/>
  <c r="J896" i="7"/>
  <c r="I896" i="7"/>
  <c r="H896" i="7"/>
  <c r="BC895" i="7"/>
  <c r="BB895" i="7"/>
  <c r="BA895" i="7"/>
  <c r="AX895" i="7"/>
  <c r="AW895" i="7"/>
  <c r="AV895" i="7"/>
  <c r="AS895" i="7"/>
  <c r="AR895" i="7"/>
  <c r="AQ895" i="7"/>
  <c r="J895" i="7"/>
  <c r="I895" i="7"/>
  <c r="H895" i="7"/>
  <c r="BM894" i="7"/>
  <c r="BL894" i="7"/>
  <c r="BK894" i="7"/>
  <c r="BH894" i="7"/>
  <c r="BG894" i="7"/>
  <c r="BF894" i="7"/>
  <c r="AV894" i="7"/>
  <c r="BM892" i="7"/>
  <c r="BL892" i="7"/>
  <c r="BK892" i="7"/>
  <c r="BH892" i="7"/>
  <c r="BG892" i="7"/>
  <c r="BF892" i="7"/>
  <c r="BC892" i="7"/>
  <c r="BB892" i="7"/>
  <c r="BA892" i="7"/>
  <c r="AX892" i="7"/>
  <c r="AW892" i="7"/>
  <c r="AV892" i="7"/>
  <c r="BM890" i="7"/>
  <c r="BL890" i="7"/>
  <c r="BK890" i="7"/>
  <c r="BH890" i="7"/>
  <c r="BG890" i="7"/>
  <c r="BF890" i="7"/>
  <c r="AB890" i="7"/>
  <c r="J890" i="7"/>
  <c r="I890" i="7"/>
  <c r="H890" i="7"/>
  <c r="BM889" i="7"/>
  <c r="BL889" i="7"/>
  <c r="BK889" i="7"/>
  <c r="BA889" i="7"/>
  <c r="AX889" i="7"/>
  <c r="AW889" i="7"/>
  <c r="AV889" i="7"/>
  <c r="BC888" i="7"/>
  <c r="BB888" i="7"/>
  <c r="BA888" i="7"/>
  <c r="AX888" i="7"/>
  <c r="AW888" i="7"/>
  <c r="AV888" i="7"/>
  <c r="AS888" i="7"/>
  <c r="AR888" i="7"/>
  <c r="AQ888" i="7"/>
  <c r="X888" i="7"/>
  <c r="W888" i="7"/>
  <c r="T888" i="7"/>
  <c r="S888" i="7"/>
  <c r="R888" i="7"/>
  <c r="O888" i="7"/>
  <c r="N888" i="7"/>
  <c r="M888" i="7"/>
  <c r="J888" i="7"/>
  <c r="I888" i="7"/>
  <c r="H888" i="7"/>
  <c r="E888" i="7"/>
  <c r="D888" i="7"/>
  <c r="C888" i="7"/>
  <c r="BA887" i="7"/>
  <c r="BC886" i="7"/>
  <c r="BB886" i="7"/>
  <c r="BA886" i="7"/>
  <c r="O886" i="7"/>
  <c r="N886" i="7"/>
  <c r="M886" i="7"/>
  <c r="J886" i="7"/>
  <c r="I886" i="7"/>
  <c r="H886" i="7"/>
  <c r="T883" i="7"/>
  <c r="S883" i="7"/>
  <c r="R883" i="7"/>
  <c r="O883" i="7"/>
  <c r="M883" i="7"/>
  <c r="E883" i="7"/>
  <c r="D883" i="7"/>
  <c r="C883" i="7"/>
  <c r="BM882" i="7"/>
  <c r="BL882" i="7"/>
  <c r="BK882" i="7"/>
  <c r="BH882" i="7"/>
  <c r="BG882" i="7"/>
  <c r="BF882" i="7"/>
  <c r="AX882" i="7"/>
  <c r="AW882" i="7"/>
  <c r="AV882" i="7"/>
  <c r="AS882" i="7"/>
  <c r="AR882" i="7"/>
  <c r="AQ882" i="7"/>
  <c r="J882" i="7"/>
  <c r="I882" i="7"/>
  <c r="H882" i="7"/>
  <c r="BM881" i="7"/>
  <c r="BL881" i="7"/>
  <c r="BH881" i="7"/>
  <c r="BG881" i="7"/>
  <c r="BF881" i="7"/>
  <c r="BA881" i="7"/>
  <c r="T881" i="7"/>
  <c r="S881" i="7"/>
  <c r="M881" i="7"/>
  <c r="BM880" i="7"/>
  <c r="BL880" i="7"/>
  <c r="BK880" i="7"/>
  <c r="BH880" i="7"/>
  <c r="BG880" i="7"/>
  <c r="BF880" i="7"/>
  <c r="AX880" i="7"/>
  <c r="AW880" i="7"/>
  <c r="AV880" i="7"/>
  <c r="J878" i="7"/>
  <c r="I878" i="7"/>
  <c r="H878" i="7"/>
  <c r="AV877" i="7"/>
  <c r="AV874" i="7"/>
  <c r="BC873" i="7"/>
  <c r="BB873" i="7"/>
  <c r="BA873" i="7"/>
  <c r="AS873" i="7"/>
  <c r="AR873" i="7"/>
  <c r="AQ873" i="7"/>
  <c r="AI873" i="7"/>
  <c r="AH873" i="7"/>
  <c r="AG873" i="7"/>
  <c r="AB873" i="7"/>
  <c r="Y873" i="7"/>
  <c r="X873" i="7"/>
  <c r="W873" i="7"/>
  <c r="T873" i="7"/>
  <c r="S873" i="7"/>
  <c r="R873" i="7"/>
  <c r="O873" i="7"/>
  <c r="N873" i="7"/>
  <c r="M873" i="7"/>
  <c r="J873" i="7"/>
  <c r="I873" i="7"/>
  <c r="H873" i="7"/>
  <c r="E873" i="7"/>
  <c r="D873" i="7"/>
  <c r="C873" i="7"/>
  <c r="AI871" i="7"/>
  <c r="AH871" i="7"/>
  <c r="AG871" i="7"/>
  <c r="J871" i="7"/>
  <c r="I871" i="7"/>
  <c r="H871" i="7"/>
  <c r="E871" i="7"/>
  <c r="D871" i="7"/>
  <c r="C871" i="7"/>
  <c r="BC869" i="7"/>
  <c r="BB869" i="7"/>
  <c r="BA869" i="7"/>
  <c r="AS869" i="7"/>
  <c r="AR869" i="7"/>
  <c r="AQ869" i="7"/>
  <c r="AI869" i="7"/>
  <c r="AH869" i="7"/>
  <c r="AG869" i="7"/>
  <c r="AD869" i="7"/>
  <c r="AC869" i="7"/>
  <c r="AB869" i="7"/>
  <c r="Y869" i="7"/>
  <c r="X869" i="7"/>
  <c r="W869" i="7"/>
  <c r="T869" i="7"/>
  <c r="S869" i="7"/>
  <c r="R869" i="7"/>
  <c r="O869" i="7"/>
  <c r="N869" i="7"/>
  <c r="M869" i="7"/>
  <c r="J869" i="7"/>
  <c r="I869" i="7"/>
  <c r="H869" i="7"/>
  <c r="E869" i="7"/>
  <c r="D869" i="7"/>
  <c r="C869" i="7"/>
  <c r="BM868" i="7"/>
  <c r="BL868" i="7"/>
  <c r="BK868" i="7"/>
  <c r="BB868" i="7"/>
  <c r="BC867" i="7"/>
  <c r="BB867" i="7"/>
  <c r="BA867" i="7"/>
  <c r="AS867" i="7"/>
  <c r="AR867" i="7"/>
  <c r="AQ867" i="7"/>
  <c r="AI867" i="7"/>
  <c r="AH867" i="7"/>
  <c r="AG867" i="7"/>
  <c r="Y867" i="7"/>
  <c r="X867" i="7"/>
  <c r="W867" i="7"/>
  <c r="T867" i="7"/>
  <c r="S867" i="7"/>
  <c r="R867" i="7"/>
  <c r="O867" i="7"/>
  <c r="N867" i="7"/>
  <c r="M867" i="7"/>
  <c r="J867" i="7"/>
  <c r="I867" i="7"/>
  <c r="H867" i="7"/>
  <c r="E867" i="7"/>
  <c r="D867" i="7"/>
  <c r="C867" i="7"/>
  <c r="BC860" i="7"/>
  <c r="AW860" i="7"/>
  <c r="AV860" i="7"/>
  <c r="J860" i="7"/>
  <c r="I860" i="7"/>
  <c r="H860" i="7"/>
  <c r="BC858" i="7"/>
  <c r="BB858" i="7"/>
  <c r="BA858" i="7"/>
  <c r="AX858" i="7"/>
  <c r="AW858" i="7"/>
  <c r="AV858" i="7"/>
  <c r="AS858" i="7"/>
  <c r="AR858" i="7"/>
  <c r="AQ858" i="7"/>
  <c r="J858" i="7"/>
  <c r="I858" i="7"/>
  <c r="H858" i="7"/>
  <c r="J856" i="7"/>
  <c r="I856" i="7"/>
  <c r="H856" i="7"/>
  <c r="BC855" i="7"/>
  <c r="BB855" i="7"/>
  <c r="BA855" i="7"/>
  <c r="AW855" i="7"/>
  <c r="AV855" i="7"/>
  <c r="AS855" i="7"/>
  <c r="AR855" i="7"/>
  <c r="AQ855" i="7"/>
  <c r="AN855" i="7"/>
  <c r="AM855" i="7"/>
  <c r="AL855" i="7"/>
  <c r="J855" i="7"/>
  <c r="I855" i="7"/>
  <c r="H855" i="7"/>
  <c r="E855" i="7"/>
  <c r="D855" i="7"/>
  <c r="C855" i="7"/>
  <c r="BC854" i="7"/>
  <c r="BB854" i="7"/>
  <c r="BA854" i="7"/>
  <c r="AX854" i="7"/>
  <c r="AW854" i="7"/>
  <c r="AV854" i="7"/>
  <c r="AS854" i="7"/>
  <c r="AR854" i="7"/>
  <c r="AQ854" i="7"/>
  <c r="J854" i="7"/>
  <c r="I854" i="7"/>
  <c r="H854" i="7"/>
  <c r="AX852" i="7"/>
  <c r="AW852" i="7"/>
  <c r="AV852" i="7"/>
  <c r="T852" i="7"/>
  <c r="S852" i="7"/>
  <c r="R852" i="7"/>
  <c r="BH851" i="7"/>
  <c r="BG851" i="7"/>
  <c r="AX851" i="7"/>
  <c r="AW851" i="7"/>
  <c r="AV851" i="7"/>
  <c r="BC850" i="7"/>
  <c r="BB850" i="7"/>
  <c r="AS850" i="7"/>
  <c r="AR850" i="7"/>
  <c r="AQ850" i="7"/>
  <c r="AI850" i="7"/>
  <c r="AH850" i="7"/>
  <c r="AG850" i="7"/>
  <c r="AD850" i="7"/>
  <c r="Y850" i="7"/>
  <c r="X850" i="7"/>
  <c r="W850" i="7"/>
  <c r="T850" i="7"/>
  <c r="S850" i="7"/>
  <c r="R850" i="7"/>
  <c r="O850" i="7"/>
  <c r="N850" i="7"/>
  <c r="M850" i="7"/>
  <c r="J850" i="7"/>
  <c r="I850" i="7"/>
  <c r="H850" i="7"/>
  <c r="J849" i="7"/>
  <c r="I849" i="7"/>
  <c r="H849" i="7"/>
  <c r="BH847" i="7"/>
  <c r="BG847" i="7"/>
  <c r="BF847" i="7"/>
  <c r="J847" i="7"/>
  <c r="I847" i="7"/>
  <c r="H847" i="7"/>
  <c r="BH845" i="7"/>
  <c r="BG845" i="7"/>
  <c r="BF845" i="7"/>
  <c r="AI845" i="7"/>
  <c r="AH845" i="7"/>
  <c r="AG845" i="7"/>
  <c r="J845" i="7"/>
  <c r="I845" i="7"/>
  <c r="H845" i="7"/>
  <c r="E845" i="7"/>
  <c r="D845" i="7"/>
  <c r="C845" i="7"/>
  <c r="BH844" i="7"/>
  <c r="BG844" i="7"/>
  <c r="BF844" i="7"/>
  <c r="Y844" i="7"/>
  <c r="X844" i="7"/>
  <c r="W844" i="7"/>
  <c r="T844" i="7"/>
  <c r="S844" i="7"/>
  <c r="R844" i="7"/>
  <c r="BM842" i="7"/>
  <c r="BL842" i="7"/>
  <c r="BK842" i="7"/>
  <c r="BH842" i="7"/>
  <c r="BG842" i="7"/>
  <c r="BF842" i="7"/>
  <c r="BC842" i="7"/>
  <c r="BB842" i="7"/>
  <c r="BA842" i="7"/>
  <c r="AW842" i="7"/>
  <c r="AV842" i="7"/>
  <c r="AI842" i="7"/>
  <c r="AH842" i="7"/>
  <c r="AG842" i="7"/>
  <c r="AD842" i="7"/>
  <c r="AC842" i="7"/>
  <c r="AB842" i="7"/>
  <c r="T842" i="7"/>
  <c r="S842" i="7"/>
  <c r="R842" i="7"/>
  <c r="O842" i="7"/>
  <c r="N842" i="7"/>
  <c r="M842" i="7"/>
  <c r="J842" i="7"/>
  <c r="I842" i="7"/>
  <c r="H842" i="7"/>
  <c r="E842" i="7"/>
  <c r="D842" i="7"/>
  <c r="C842" i="7"/>
  <c r="BC841" i="7"/>
  <c r="BB841" i="7"/>
  <c r="BA841" i="7"/>
  <c r="AS841" i="7"/>
  <c r="AR841" i="7"/>
  <c r="AQ841" i="7"/>
  <c r="AN841" i="7"/>
  <c r="AM841" i="7"/>
  <c r="AL841" i="7"/>
  <c r="AD841" i="7"/>
  <c r="AC841" i="7"/>
  <c r="Y841" i="7"/>
  <c r="X841" i="7"/>
  <c r="W841" i="7"/>
  <c r="T841" i="7"/>
  <c r="S841" i="7"/>
  <c r="R841" i="7"/>
  <c r="N841" i="7"/>
  <c r="M841" i="7"/>
  <c r="J841" i="7"/>
  <c r="I841" i="7"/>
  <c r="H841" i="7"/>
  <c r="E841" i="7"/>
  <c r="D841" i="7"/>
  <c r="C841" i="7"/>
  <c r="BH840" i="7"/>
  <c r="BG840" i="7"/>
  <c r="BF840" i="7"/>
  <c r="BC839" i="7"/>
  <c r="AW839" i="7"/>
  <c r="AV839" i="7"/>
  <c r="AS839" i="7"/>
  <c r="AR839" i="7"/>
  <c r="AQ839" i="7"/>
  <c r="AI839" i="7"/>
  <c r="AH839" i="7"/>
  <c r="AG839" i="7"/>
  <c r="AD839" i="7"/>
  <c r="AC839" i="7"/>
  <c r="AB839" i="7"/>
  <c r="Y839" i="7"/>
  <c r="X839" i="7"/>
  <c r="W839" i="7"/>
  <c r="T839" i="7"/>
  <c r="S839" i="7"/>
  <c r="R839" i="7"/>
  <c r="O839" i="7"/>
  <c r="N839" i="7"/>
  <c r="M839" i="7"/>
  <c r="J839" i="7"/>
  <c r="I839" i="7"/>
  <c r="H839" i="7"/>
  <c r="E839" i="7"/>
  <c r="D839" i="7"/>
  <c r="C839" i="7"/>
  <c r="BC838" i="7"/>
  <c r="BB838" i="7"/>
  <c r="BA838" i="7"/>
  <c r="AW838" i="7"/>
  <c r="AV838" i="7"/>
  <c r="BC837" i="7"/>
  <c r="BB837" i="7"/>
  <c r="BA837" i="7"/>
  <c r="J837" i="7"/>
  <c r="I837" i="7"/>
  <c r="H837" i="7"/>
  <c r="BC836" i="7"/>
  <c r="BB836" i="7"/>
  <c r="BA836" i="7"/>
  <c r="AS836" i="7"/>
  <c r="AR836" i="7"/>
  <c r="AQ836" i="7"/>
  <c r="AB836" i="7"/>
  <c r="Y836" i="7"/>
  <c r="X836" i="7"/>
  <c r="W836" i="7"/>
  <c r="T836" i="7"/>
  <c r="S836" i="7"/>
  <c r="R836" i="7"/>
  <c r="O836" i="7"/>
  <c r="N836" i="7"/>
  <c r="M836" i="7"/>
  <c r="J836" i="7"/>
  <c r="I836" i="7"/>
  <c r="H836" i="7"/>
  <c r="BC835" i="7"/>
  <c r="BB835" i="7"/>
  <c r="BA835" i="7"/>
  <c r="J834" i="7"/>
  <c r="I834" i="7"/>
  <c r="H834" i="7"/>
  <c r="J833" i="7"/>
  <c r="I833" i="7"/>
  <c r="H833" i="7"/>
  <c r="BH831" i="7"/>
  <c r="BG831" i="7"/>
  <c r="J831" i="7"/>
  <c r="I831" i="7"/>
  <c r="H831" i="7"/>
  <c r="E831" i="7"/>
  <c r="D831" i="7"/>
  <c r="C831" i="7"/>
  <c r="J830" i="7"/>
  <c r="I830" i="7"/>
  <c r="H830" i="7"/>
  <c r="BH828" i="7"/>
  <c r="BG828" i="7"/>
  <c r="BF828" i="7"/>
  <c r="BC828" i="7"/>
  <c r="BB828" i="7"/>
  <c r="BA828" i="7"/>
  <c r="AW828" i="7"/>
  <c r="AV828" i="7"/>
  <c r="J828" i="7"/>
  <c r="I828" i="7"/>
  <c r="H828" i="7"/>
  <c r="E828" i="7"/>
  <c r="D828" i="7"/>
  <c r="C828" i="7"/>
  <c r="BH825" i="7"/>
  <c r="BG825" i="7"/>
  <c r="BF825" i="7"/>
  <c r="M825" i="7"/>
  <c r="J825" i="7"/>
  <c r="I825" i="7"/>
  <c r="H825" i="7"/>
  <c r="E825" i="7"/>
  <c r="D825" i="7"/>
  <c r="C825" i="7"/>
  <c r="BB823" i="7"/>
  <c r="BA823" i="7"/>
  <c r="AD823" i="7"/>
  <c r="O823" i="7"/>
  <c r="I823" i="7"/>
  <c r="BH821" i="7"/>
  <c r="BG821" i="7"/>
  <c r="BF821" i="7"/>
  <c r="BC819" i="7"/>
  <c r="BB819" i="7"/>
  <c r="BA819" i="7"/>
  <c r="AW819" i="7"/>
  <c r="AV819" i="7"/>
  <c r="AS819" i="7"/>
  <c r="AR819" i="7"/>
  <c r="AQ819" i="7"/>
  <c r="AD819" i="7"/>
  <c r="AC819" i="7"/>
  <c r="AB819" i="7"/>
  <c r="Y819" i="7"/>
  <c r="X819" i="7"/>
  <c r="W819" i="7"/>
  <c r="T819" i="7"/>
  <c r="S819" i="7"/>
  <c r="R819" i="7"/>
  <c r="O819" i="7"/>
  <c r="N819" i="7"/>
  <c r="M819" i="7"/>
  <c r="J819" i="7"/>
  <c r="I819" i="7"/>
  <c r="H819" i="7"/>
  <c r="BH817" i="7"/>
  <c r="BG817" i="7"/>
  <c r="BF817" i="7"/>
  <c r="BM815" i="7"/>
  <c r="BL815" i="7"/>
  <c r="BK815" i="7"/>
  <c r="BC815" i="7"/>
  <c r="AW815" i="7"/>
  <c r="AV815" i="7"/>
  <c r="J815" i="7"/>
  <c r="I815" i="7"/>
  <c r="H815" i="7"/>
  <c r="BH814" i="7"/>
  <c r="BG814" i="7"/>
  <c r="BF814" i="7"/>
  <c r="BC814" i="7"/>
  <c r="BB814" i="7"/>
  <c r="BA814" i="7"/>
  <c r="AI814" i="7"/>
  <c r="AH814" i="7"/>
  <c r="AG814" i="7"/>
  <c r="AD814" i="7"/>
  <c r="AC814" i="7"/>
  <c r="AB814" i="7"/>
  <c r="T814" i="7"/>
  <c r="S814" i="7"/>
  <c r="R814" i="7"/>
  <c r="O814" i="7"/>
  <c r="N814" i="7"/>
  <c r="M814" i="7"/>
  <c r="J814" i="7"/>
  <c r="I814" i="7"/>
  <c r="H814" i="7"/>
  <c r="E814" i="7"/>
  <c r="D814" i="7"/>
  <c r="C814" i="7"/>
  <c r="BH813" i="7"/>
  <c r="BG813" i="7"/>
  <c r="BF813" i="7"/>
  <c r="BC813" i="7"/>
  <c r="J813" i="7"/>
  <c r="I813" i="7"/>
  <c r="H813" i="7"/>
  <c r="BM812" i="7"/>
  <c r="BL812" i="7"/>
  <c r="BK812" i="7"/>
  <c r="BH812" i="7"/>
  <c r="BG812" i="7"/>
  <c r="BC812" i="7"/>
  <c r="AI812" i="7"/>
  <c r="AH812" i="7"/>
  <c r="AG812" i="7"/>
  <c r="J812" i="7"/>
  <c r="I812" i="7"/>
  <c r="H812" i="7"/>
  <c r="BM811" i="7"/>
  <c r="BL811" i="7"/>
  <c r="BK811" i="7"/>
  <c r="BH811" i="7"/>
  <c r="BG811" i="7"/>
  <c r="BF811" i="7"/>
  <c r="BC811" i="7"/>
  <c r="BB811" i="7"/>
  <c r="BA811" i="7"/>
  <c r="AI811" i="7"/>
  <c r="AH811" i="7"/>
  <c r="AG811" i="7"/>
  <c r="AC811" i="7"/>
  <c r="AB811" i="7"/>
  <c r="J811" i="7"/>
  <c r="I811" i="7"/>
  <c r="H811" i="7"/>
  <c r="E811" i="7"/>
  <c r="D811" i="7"/>
  <c r="C811" i="7"/>
  <c r="BH809" i="7"/>
  <c r="BG809" i="7"/>
  <c r="BF809" i="7"/>
  <c r="BC806" i="7"/>
  <c r="BB806" i="7"/>
  <c r="BA806" i="7"/>
  <c r="J796" i="7"/>
  <c r="I796" i="7"/>
  <c r="H796" i="7"/>
  <c r="J795" i="7"/>
  <c r="I795" i="7"/>
  <c r="H795" i="7"/>
  <c r="BC794" i="7"/>
  <c r="BB794" i="7"/>
  <c r="AI793" i="7"/>
  <c r="AH793" i="7"/>
  <c r="J793" i="7"/>
  <c r="I793" i="7"/>
  <c r="H793" i="7"/>
  <c r="E793" i="7"/>
  <c r="D793" i="7"/>
  <c r="C793" i="7"/>
  <c r="J791" i="7"/>
  <c r="I791" i="7"/>
  <c r="H791" i="7"/>
  <c r="AS789" i="7"/>
  <c r="AR789" i="7"/>
  <c r="AQ789" i="7"/>
  <c r="J789" i="7"/>
  <c r="I789" i="7"/>
  <c r="H789" i="7"/>
  <c r="R785" i="7"/>
  <c r="N785" i="7"/>
  <c r="J785" i="7"/>
  <c r="I785" i="7"/>
  <c r="H785" i="7"/>
  <c r="E785" i="7"/>
  <c r="D785" i="7"/>
  <c r="C785" i="7"/>
  <c r="J784" i="7"/>
  <c r="I784" i="7"/>
  <c r="H784" i="7"/>
  <c r="J783" i="7"/>
  <c r="I783" i="7"/>
  <c r="H783" i="7"/>
  <c r="BC782" i="7"/>
  <c r="BB782" i="7"/>
  <c r="BA782" i="7"/>
  <c r="J782" i="7"/>
  <c r="I782" i="7"/>
  <c r="H782" i="7"/>
  <c r="BC779" i="7"/>
  <c r="BB779" i="7"/>
  <c r="BA779" i="7"/>
  <c r="AS779" i="7"/>
  <c r="AR779" i="7"/>
  <c r="AQ779" i="7"/>
  <c r="AD779" i="7"/>
  <c r="Y779" i="7"/>
  <c r="X779" i="7"/>
  <c r="W779" i="7"/>
  <c r="T779" i="7"/>
  <c r="S779" i="7"/>
  <c r="R779" i="7"/>
  <c r="O779" i="7"/>
  <c r="N779" i="7"/>
  <c r="M779" i="7"/>
  <c r="J779" i="7"/>
  <c r="I779" i="7"/>
  <c r="H779" i="7"/>
  <c r="E779" i="7"/>
  <c r="D779" i="7"/>
  <c r="C779" i="7"/>
  <c r="BC777" i="7"/>
  <c r="BB777" i="7"/>
  <c r="BA777" i="7"/>
  <c r="AS777" i="7"/>
  <c r="AR777" i="7"/>
  <c r="AQ777" i="7"/>
  <c r="J777" i="7"/>
  <c r="I777" i="7"/>
  <c r="H777" i="7"/>
  <c r="BM773" i="7"/>
  <c r="BL773" i="7"/>
  <c r="BK773" i="7"/>
  <c r="BH773" i="7"/>
  <c r="BG773" i="7"/>
  <c r="BF773" i="7"/>
  <c r="BC773" i="7"/>
  <c r="BB773" i="7"/>
  <c r="BA773" i="7"/>
  <c r="AW773" i="7"/>
  <c r="AI773" i="7"/>
  <c r="AH773" i="7"/>
  <c r="AG773" i="7"/>
  <c r="J773" i="7"/>
  <c r="I773" i="7"/>
  <c r="H773" i="7"/>
  <c r="E773" i="7"/>
  <c r="D773" i="7"/>
  <c r="C773" i="7"/>
  <c r="BC770" i="7"/>
  <c r="BB770" i="7"/>
  <c r="BA770" i="7"/>
  <c r="AS770" i="7"/>
  <c r="AR770" i="7"/>
  <c r="AQ770" i="7"/>
  <c r="Y770" i="7"/>
  <c r="X770" i="7"/>
  <c r="W770" i="7"/>
  <c r="T770" i="7"/>
  <c r="S770" i="7"/>
  <c r="R770" i="7"/>
  <c r="J770" i="7"/>
  <c r="I770" i="7"/>
  <c r="H770" i="7"/>
  <c r="BC769" i="7"/>
  <c r="BB769" i="7"/>
  <c r="BA769" i="7"/>
  <c r="AS769" i="7"/>
  <c r="AR769" i="7"/>
  <c r="AQ769" i="7"/>
  <c r="Y769" i="7"/>
  <c r="X769" i="7"/>
  <c r="W769" i="7"/>
  <c r="T769" i="7"/>
  <c r="S769" i="7"/>
  <c r="R769" i="7"/>
  <c r="J769" i="7"/>
  <c r="I769" i="7"/>
  <c r="H769" i="7"/>
  <c r="E769" i="7"/>
  <c r="D769" i="7"/>
  <c r="C769" i="7"/>
  <c r="BM768" i="7"/>
  <c r="BL768" i="7"/>
  <c r="BK768" i="7"/>
  <c r="BH768" i="7"/>
  <c r="BG768" i="7"/>
  <c r="BF768" i="7"/>
  <c r="BM763" i="7"/>
  <c r="BL763" i="7"/>
  <c r="BH763" i="7"/>
  <c r="BG763" i="7"/>
  <c r="BF763" i="7"/>
  <c r="BC760" i="7"/>
  <c r="BB760" i="7"/>
  <c r="BA760" i="7"/>
  <c r="AS760" i="7"/>
  <c r="AR760" i="7"/>
  <c r="AQ760" i="7"/>
  <c r="Y760" i="7"/>
  <c r="X760" i="7"/>
  <c r="W760" i="7"/>
  <c r="T760" i="7"/>
  <c r="S760" i="7"/>
  <c r="R760" i="7"/>
  <c r="J760" i="7"/>
  <c r="I760" i="7"/>
  <c r="H760" i="7"/>
  <c r="J759" i="7"/>
  <c r="I759" i="7"/>
  <c r="H759" i="7"/>
  <c r="BM758" i="7"/>
  <c r="BL758" i="7"/>
  <c r="BH758" i="7"/>
  <c r="BG758" i="7"/>
  <c r="BF758" i="7"/>
  <c r="BC758" i="7"/>
  <c r="BB758" i="7"/>
  <c r="BA758" i="7"/>
  <c r="BH757" i="7"/>
  <c r="BG757" i="7"/>
  <c r="BF757" i="7"/>
  <c r="AS757" i="7"/>
  <c r="AR757" i="7"/>
  <c r="AQ757" i="7"/>
  <c r="X757" i="7"/>
  <c r="S757" i="7"/>
  <c r="O757" i="7"/>
  <c r="N757" i="7"/>
  <c r="M757" i="7"/>
  <c r="J757" i="7"/>
  <c r="I757" i="7"/>
  <c r="H757" i="7"/>
  <c r="BF755" i="7"/>
  <c r="BC755" i="7"/>
  <c r="BB755" i="7"/>
  <c r="BA755" i="7"/>
  <c r="AW755" i="7"/>
  <c r="AV755" i="7"/>
  <c r="AS755" i="7"/>
  <c r="AR755" i="7"/>
  <c r="AQ755" i="7"/>
  <c r="AN755" i="7"/>
  <c r="AM755" i="7"/>
  <c r="AL755" i="7"/>
  <c r="AD755" i="7"/>
  <c r="AC755" i="7"/>
  <c r="AB755" i="7"/>
  <c r="O755" i="7"/>
  <c r="N755" i="7"/>
  <c r="M755" i="7"/>
  <c r="J755" i="7"/>
  <c r="I755" i="7"/>
  <c r="H755" i="7"/>
  <c r="E755" i="7"/>
  <c r="D755" i="7"/>
  <c r="C755" i="7"/>
  <c r="AS754" i="7"/>
  <c r="AR754" i="7"/>
  <c r="AQ754" i="7"/>
  <c r="J754" i="7"/>
  <c r="I754" i="7"/>
  <c r="H754" i="7"/>
  <c r="BC753" i="7"/>
  <c r="BB753" i="7"/>
  <c r="AV753" i="7"/>
  <c r="AS753" i="7"/>
  <c r="AR753" i="7"/>
  <c r="AQ753" i="7"/>
  <c r="Y753" i="7"/>
  <c r="X753" i="7"/>
  <c r="W753" i="7"/>
  <c r="BH752" i="7"/>
  <c r="BG752" i="7"/>
  <c r="BF752" i="7"/>
  <c r="BC752" i="7"/>
  <c r="BB752" i="7"/>
  <c r="BA752" i="7"/>
  <c r="AW752" i="7"/>
  <c r="AV752" i="7"/>
  <c r="AS752" i="7"/>
  <c r="AR752" i="7"/>
  <c r="AQ752" i="7"/>
  <c r="Y752" i="7"/>
  <c r="X752" i="7"/>
  <c r="W752" i="7"/>
  <c r="O752" i="7"/>
  <c r="N752" i="7"/>
  <c r="M752" i="7"/>
  <c r="J752" i="7"/>
  <c r="I752" i="7"/>
  <c r="H752" i="7"/>
  <c r="BH751" i="7"/>
  <c r="BG751" i="7"/>
  <c r="BF751" i="7"/>
  <c r="BC751" i="7"/>
  <c r="BB751" i="7"/>
  <c r="BA751" i="7"/>
  <c r="AW751" i="7"/>
  <c r="AV751" i="7"/>
  <c r="AS751" i="7"/>
  <c r="AR751" i="7"/>
  <c r="AQ751" i="7"/>
  <c r="AD751" i="7"/>
  <c r="AC751" i="7"/>
  <c r="AB751" i="7"/>
  <c r="Y751" i="7"/>
  <c r="X751" i="7"/>
  <c r="W751" i="7"/>
  <c r="T751" i="7"/>
  <c r="S751" i="7"/>
  <c r="R751" i="7"/>
  <c r="O751" i="7"/>
  <c r="J751" i="7"/>
  <c r="I751" i="7"/>
  <c r="H751" i="7"/>
  <c r="E751" i="7"/>
  <c r="D751" i="7"/>
  <c r="C751" i="7"/>
  <c r="BH749" i="7"/>
  <c r="BG749" i="7"/>
  <c r="BF749" i="7"/>
  <c r="BH747" i="7"/>
  <c r="BG747" i="7"/>
  <c r="BF747" i="7"/>
  <c r="BC747" i="7"/>
  <c r="BB747" i="7"/>
  <c r="BA747" i="7"/>
  <c r="AW747" i="7"/>
  <c r="AV747" i="7"/>
  <c r="AI747" i="7"/>
  <c r="AG747" i="7"/>
  <c r="S747" i="7"/>
  <c r="O747" i="7"/>
  <c r="M747" i="7"/>
  <c r="J747" i="7"/>
  <c r="I747" i="7"/>
  <c r="H747" i="7"/>
  <c r="E747" i="7"/>
  <c r="D747" i="7"/>
  <c r="C747" i="7"/>
  <c r="BC746" i="7"/>
  <c r="BB746" i="7"/>
  <c r="BA746" i="7"/>
  <c r="O746" i="7"/>
  <c r="N746" i="7"/>
  <c r="M746" i="7"/>
  <c r="J746" i="7"/>
  <c r="I746" i="7"/>
  <c r="H746" i="7"/>
  <c r="BC745" i="7"/>
  <c r="BA745" i="7"/>
  <c r="AW745" i="7"/>
  <c r="J745" i="7"/>
  <c r="I745" i="7"/>
  <c r="H745" i="7"/>
  <c r="BC743" i="7"/>
  <c r="BB743" i="7"/>
  <c r="BA743" i="7"/>
  <c r="AW743" i="7"/>
  <c r="AV743" i="7"/>
  <c r="AS743" i="7"/>
  <c r="AR743" i="7"/>
  <c r="AQ743" i="7"/>
  <c r="O743" i="7"/>
  <c r="N743" i="7"/>
  <c r="M743" i="7"/>
  <c r="J743" i="7"/>
  <c r="I743" i="7"/>
  <c r="H743" i="7"/>
  <c r="E743" i="7"/>
  <c r="D743" i="7"/>
  <c r="C743" i="7"/>
  <c r="BM742" i="7"/>
  <c r="BL742" i="7"/>
  <c r="BK742" i="7"/>
  <c r="BH742" i="7"/>
  <c r="BG742" i="7"/>
  <c r="BF742" i="7"/>
  <c r="BC742" i="7"/>
  <c r="BB742" i="7"/>
  <c r="BA742" i="7"/>
  <c r="AW742" i="7"/>
  <c r="AV742" i="7"/>
  <c r="AS742" i="7"/>
  <c r="AR742" i="7"/>
  <c r="AQ742" i="7"/>
  <c r="AN742" i="7"/>
  <c r="AM742" i="7"/>
  <c r="AL742" i="7"/>
  <c r="AI742" i="7"/>
  <c r="AH742" i="7"/>
  <c r="AG742" i="7"/>
  <c r="AD742" i="7"/>
  <c r="AC742" i="7"/>
  <c r="AB742" i="7"/>
  <c r="Y742" i="7"/>
  <c r="X742" i="7"/>
  <c r="W742" i="7"/>
  <c r="T742" i="7"/>
  <c r="S742" i="7"/>
  <c r="R742" i="7"/>
  <c r="O742" i="7"/>
  <c r="N742" i="7"/>
  <c r="M742" i="7"/>
  <c r="J742" i="7"/>
  <c r="I742" i="7"/>
  <c r="H742" i="7"/>
  <c r="E742" i="7"/>
  <c r="D742" i="7"/>
  <c r="C742" i="7"/>
  <c r="BH741" i="7"/>
  <c r="BG741" i="7"/>
  <c r="BF741" i="7"/>
  <c r="BH740" i="7"/>
  <c r="BG740" i="7"/>
  <c r="BF740" i="7"/>
  <c r="BC740" i="7"/>
  <c r="BB740" i="7"/>
  <c r="BA740" i="7"/>
  <c r="AS740" i="7"/>
  <c r="AR740" i="7"/>
  <c r="AQ740" i="7"/>
  <c r="AN740" i="7"/>
  <c r="AM740" i="7"/>
  <c r="AL740" i="7"/>
  <c r="AD740" i="7"/>
  <c r="AC740" i="7"/>
  <c r="AB740" i="7"/>
  <c r="Y740" i="7"/>
  <c r="X740" i="7"/>
  <c r="W740" i="7"/>
  <c r="T740" i="7"/>
  <c r="S740" i="7"/>
  <c r="R740" i="7"/>
  <c r="O740" i="7"/>
  <c r="N740" i="7"/>
  <c r="M740" i="7"/>
  <c r="J740" i="7"/>
  <c r="I740" i="7"/>
  <c r="H740" i="7"/>
  <c r="E740" i="7"/>
  <c r="D740" i="7"/>
  <c r="C740" i="7"/>
  <c r="J739" i="7"/>
  <c r="I739" i="7"/>
  <c r="H739" i="7"/>
  <c r="BH738" i="7"/>
  <c r="BG738" i="7"/>
  <c r="BF738" i="7"/>
  <c r="BC738" i="7"/>
  <c r="BB738" i="7"/>
  <c r="BA738" i="7"/>
  <c r="AW738" i="7"/>
  <c r="AV738" i="7"/>
  <c r="AS738" i="7"/>
  <c r="AR738" i="7"/>
  <c r="AQ738" i="7"/>
  <c r="AN738" i="7"/>
  <c r="AM738" i="7"/>
  <c r="AL738" i="7"/>
  <c r="AI738" i="7"/>
  <c r="AH738" i="7"/>
  <c r="AG738" i="7"/>
  <c r="AD738" i="7"/>
  <c r="AC738" i="7"/>
  <c r="AB738" i="7"/>
  <c r="Y738" i="7"/>
  <c r="X738" i="7"/>
  <c r="W738" i="7"/>
  <c r="T738" i="7"/>
  <c r="S738" i="7"/>
  <c r="R738" i="7"/>
  <c r="O738" i="7"/>
  <c r="N738" i="7"/>
  <c r="M738" i="7"/>
  <c r="J738" i="7"/>
  <c r="I738" i="7"/>
  <c r="H738" i="7"/>
  <c r="E738" i="7"/>
  <c r="D738" i="7"/>
  <c r="C738" i="7"/>
  <c r="BM737" i="7"/>
  <c r="BL737" i="7"/>
  <c r="BK737" i="7"/>
  <c r="BH737" i="7"/>
  <c r="BG737" i="7"/>
  <c r="BF737" i="7"/>
  <c r="BC736" i="7"/>
  <c r="BB736" i="7"/>
  <c r="BA736" i="7"/>
  <c r="AS736" i="7"/>
  <c r="AR736" i="7"/>
  <c r="AQ736" i="7"/>
  <c r="J736" i="7"/>
  <c r="I736" i="7"/>
  <c r="H736" i="7"/>
  <c r="AV735" i="7"/>
  <c r="BH734" i="7"/>
  <c r="BG734" i="7"/>
  <c r="BA734" i="7"/>
  <c r="BC733" i="7"/>
  <c r="AW733" i="7"/>
  <c r="AV733" i="7"/>
  <c r="J733" i="7"/>
  <c r="I733" i="7"/>
  <c r="H733" i="7"/>
  <c r="E733" i="7"/>
  <c r="D733" i="7"/>
  <c r="C733" i="7"/>
  <c r="BH731" i="7"/>
  <c r="BG731" i="7"/>
  <c r="BF731" i="7"/>
  <c r="BC731" i="7"/>
  <c r="BB731" i="7"/>
  <c r="BA731" i="7"/>
  <c r="AW731" i="7"/>
  <c r="AV731" i="7"/>
  <c r="AS731" i="7"/>
  <c r="AR731" i="7"/>
  <c r="AQ731" i="7"/>
  <c r="AN731" i="7"/>
  <c r="AM731" i="7"/>
  <c r="AL731" i="7"/>
  <c r="AI731" i="7"/>
  <c r="AH731" i="7"/>
  <c r="AG731" i="7"/>
  <c r="AD731" i="7"/>
  <c r="AC731" i="7"/>
  <c r="AB731" i="7"/>
  <c r="Y731" i="7"/>
  <c r="X731" i="7"/>
  <c r="W731" i="7"/>
  <c r="T731" i="7"/>
  <c r="S731" i="7"/>
  <c r="R731" i="7"/>
  <c r="O731" i="7"/>
  <c r="N731" i="7"/>
  <c r="M731" i="7"/>
  <c r="J731" i="7"/>
  <c r="I731" i="7"/>
  <c r="H731" i="7"/>
  <c r="E731" i="7"/>
  <c r="D731" i="7"/>
  <c r="C731" i="7"/>
  <c r="BC730" i="7"/>
  <c r="BB730" i="7"/>
  <c r="BA730" i="7"/>
  <c r="AW730" i="7"/>
  <c r="AV730" i="7"/>
  <c r="AS730" i="7"/>
  <c r="AR730" i="7"/>
  <c r="AQ730" i="7"/>
  <c r="AN730" i="7"/>
  <c r="AM730" i="7"/>
  <c r="AL730" i="7"/>
  <c r="AI730" i="7"/>
  <c r="AH730" i="7"/>
  <c r="AG730" i="7"/>
  <c r="AD730" i="7"/>
  <c r="AC730" i="7"/>
  <c r="AB730" i="7"/>
  <c r="Y730" i="7"/>
  <c r="X730" i="7"/>
  <c r="W730" i="7"/>
  <c r="T730" i="7"/>
  <c r="S730" i="7"/>
  <c r="R730" i="7"/>
  <c r="O730" i="7"/>
  <c r="N730" i="7"/>
  <c r="M730" i="7"/>
  <c r="J730" i="7"/>
  <c r="I730" i="7"/>
  <c r="H730" i="7"/>
  <c r="E730" i="7"/>
  <c r="D730" i="7"/>
  <c r="C730" i="7"/>
  <c r="BM729" i="7"/>
  <c r="BL729" i="7"/>
  <c r="BK729" i="7"/>
  <c r="BH729" i="7"/>
  <c r="BG729" i="7"/>
  <c r="BF729" i="7"/>
  <c r="BC729" i="7"/>
  <c r="BB729" i="7"/>
  <c r="BA729" i="7"/>
  <c r="AW729" i="7"/>
  <c r="AV729" i="7"/>
  <c r="AI729" i="7"/>
  <c r="AH729" i="7"/>
  <c r="AG729" i="7"/>
  <c r="AD729" i="7"/>
  <c r="AC729" i="7"/>
  <c r="AB729" i="7"/>
  <c r="T729" i="7"/>
  <c r="S729" i="7"/>
  <c r="O729" i="7"/>
  <c r="N729" i="7"/>
  <c r="M729" i="7"/>
  <c r="J729" i="7"/>
  <c r="I729" i="7"/>
  <c r="H729" i="7"/>
  <c r="C729" i="7"/>
  <c r="BM728" i="7"/>
  <c r="BL728" i="7"/>
  <c r="BK728" i="7"/>
  <c r="BH728" i="7"/>
  <c r="BG728" i="7"/>
  <c r="BF728" i="7"/>
  <c r="BC728" i="7"/>
  <c r="BB728" i="7"/>
  <c r="BA728" i="7"/>
  <c r="AG728" i="7"/>
  <c r="J728" i="7"/>
  <c r="I728" i="7"/>
  <c r="H728" i="7"/>
  <c r="BC726" i="7"/>
  <c r="BB726" i="7"/>
  <c r="BA726" i="7"/>
  <c r="AS726" i="7"/>
  <c r="AR726" i="7"/>
  <c r="AQ726" i="7"/>
  <c r="AD726" i="7"/>
  <c r="T726" i="7"/>
  <c r="S726" i="7"/>
  <c r="R726" i="7"/>
  <c r="N726" i="7"/>
  <c r="BC725" i="7"/>
  <c r="BB725" i="7"/>
  <c r="BA725" i="7"/>
  <c r="AS725" i="7"/>
  <c r="AR725" i="7"/>
  <c r="AQ725" i="7"/>
  <c r="T725" i="7"/>
  <c r="S725" i="7"/>
  <c r="R725" i="7"/>
  <c r="J725" i="7"/>
  <c r="I725" i="7"/>
  <c r="H725" i="7"/>
  <c r="BH724" i="7"/>
  <c r="BG724" i="7"/>
  <c r="BF724" i="7"/>
  <c r="BC723" i="7"/>
  <c r="BB723" i="7"/>
  <c r="BA723" i="7"/>
  <c r="AS723" i="7"/>
  <c r="AR723" i="7"/>
  <c r="AQ723" i="7"/>
  <c r="AI723" i="7"/>
  <c r="AH723" i="7"/>
  <c r="AG723" i="7"/>
  <c r="AD723" i="7"/>
  <c r="AC723" i="7"/>
  <c r="AB723" i="7"/>
  <c r="Y723" i="7"/>
  <c r="X723" i="7"/>
  <c r="W723" i="7"/>
  <c r="T723" i="7"/>
  <c r="S723" i="7"/>
  <c r="R723" i="7"/>
  <c r="O723" i="7"/>
  <c r="N723" i="7"/>
  <c r="M723" i="7"/>
  <c r="J723" i="7"/>
  <c r="I723" i="7"/>
  <c r="H723" i="7"/>
  <c r="E723" i="7"/>
  <c r="D723" i="7"/>
  <c r="C723" i="7"/>
  <c r="BH722" i="7"/>
  <c r="BG722" i="7"/>
  <c r="BF722" i="7"/>
  <c r="J722" i="7"/>
  <c r="I722" i="7"/>
  <c r="H722" i="7"/>
  <c r="BC720" i="7"/>
  <c r="BB720" i="7"/>
  <c r="BA720" i="7"/>
  <c r="AS720" i="7"/>
  <c r="AR720" i="7"/>
  <c r="AQ720" i="7"/>
  <c r="J720" i="7"/>
  <c r="I720" i="7"/>
  <c r="H720" i="7"/>
  <c r="BC718" i="7"/>
  <c r="BB718" i="7"/>
  <c r="BA718" i="7"/>
  <c r="AS718" i="7"/>
  <c r="AR718" i="7"/>
  <c r="AQ718" i="7"/>
  <c r="AD718" i="7"/>
  <c r="AC718" i="7"/>
  <c r="AB718" i="7"/>
  <c r="Y718" i="7"/>
  <c r="X718" i="7"/>
  <c r="W718" i="7"/>
  <c r="T718" i="7"/>
  <c r="S718" i="7"/>
  <c r="R718" i="7"/>
  <c r="O718" i="7"/>
  <c r="N718" i="7"/>
  <c r="M718" i="7"/>
  <c r="J718" i="7"/>
  <c r="I718" i="7"/>
  <c r="H718" i="7"/>
  <c r="BC717" i="7"/>
  <c r="BB717" i="7"/>
  <c r="BA717" i="7"/>
  <c r="AX717" i="7"/>
  <c r="AW717" i="7"/>
  <c r="AV717" i="7"/>
  <c r="AS717" i="7"/>
  <c r="AR717" i="7"/>
  <c r="AQ717" i="7"/>
  <c r="AN717" i="7"/>
  <c r="AM717" i="7"/>
  <c r="AL717" i="7"/>
  <c r="AI717" i="7"/>
  <c r="AH717" i="7"/>
  <c r="AG717" i="7"/>
  <c r="AD717" i="7"/>
  <c r="AC717" i="7"/>
  <c r="AB717" i="7"/>
  <c r="Y717" i="7"/>
  <c r="X717" i="7"/>
  <c r="W717" i="7"/>
  <c r="T717" i="7"/>
  <c r="S717" i="7"/>
  <c r="R717" i="7"/>
  <c r="O717" i="7"/>
  <c r="N717" i="7"/>
  <c r="M717" i="7"/>
  <c r="J717" i="7"/>
  <c r="I717" i="7"/>
  <c r="H717" i="7"/>
  <c r="E717" i="7"/>
  <c r="D717" i="7"/>
  <c r="C717" i="7"/>
  <c r="BC715" i="7"/>
  <c r="AX715" i="7"/>
  <c r="AS715" i="7"/>
  <c r="AR715" i="7"/>
  <c r="AQ715" i="7"/>
  <c r="AI715" i="7"/>
  <c r="AH715" i="7"/>
  <c r="AG715" i="7"/>
  <c r="Y715" i="7"/>
  <c r="X715" i="7"/>
  <c r="T715" i="7"/>
  <c r="S715" i="7"/>
  <c r="R715" i="7"/>
  <c r="O715" i="7"/>
  <c r="N715" i="7"/>
  <c r="M715" i="7"/>
  <c r="J715" i="7"/>
  <c r="I715" i="7"/>
  <c r="H715" i="7"/>
  <c r="BC714" i="7"/>
  <c r="BB714" i="7"/>
  <c r="BA714" i="7"/>
  <c r="AX714" i="7"/>
  <c r="AW714" i="7"/>
  <c r="AV714" i="7"/>
  <c r="AS714" i="7"/>
  <c r="AR714" i="7"/>
  <c r="AQ714" i="7"/>
  <c r="AN714" i="7"/>
  <c r="AM714" i="7"/>
  <c r="AL714" i="7"/>
  <c r="AD714" i="7"/>
  <c r="AC714" i="7"/>
  <c r="AB714" i="7"/>
  <c r="Y714" i="7"/>
  <c r="X714" i="7"/>
  <c r="W714" i="7"/>
  <c r="T714" i="7"/>
  <c r="S714" i="7"/>
  <c r="R714" i="7"/>
  <c r="O714" i="7"/>
  <c r="N714" i="7"/>
  <c r="M714" i="7"/>
  <c r="J714" i="7"/>
  <c r="I714" i="7"/>
  <c r="H714" i="7"/>
  <c r="E714" i="7"/>
  <c r="D714" i="7"/>
  <c r="C714" i="7"/>
  <c r="BM711" i="7"/>
  <c r="BL711" i="7"/>
  <c r="BK711" i="7"/>
  <c r="BH711" i="7"/>
  <c r="BG711" i="7"/>
  <c r="BF711" i="7"/>
  <c r="BC711" i="7"/>
  <c r="BB711" i="7"/>
  <c r="BA711" i="7"/>
  <c r="J711" i="7"/>
  <c r="I711" i="7"/>
  <c r="H711" i="7"/>
  <c r="BM710" i="7"/>
  <c r="BL710" i="7"/>
  <c r="BK710" i="7"/>
  <c r="BH710" i="7"/>
  <c r="BG710" i="7"/>
  <c r="BF710" i="7"/>
  <c r="BK709" i="7"/>
  <c r="BC709" i="7"/>
  <c r="BB709" i="7"/>
  <c r="BM706" i="7"/>
  <c r="BL706" i="7"/>
  <c r="BK706" i="7"/>
  <c r="BB706" i="7"/>
  <c r="BA706" i="7"/>
  <c r="BM705" i="7"/>
  <c r="BL705" i="7"/>
  <c r="BK705" i="7"/>
  <c r="BH705" i="7"/>
  <c r="BG705" i="7"/>
  <c r="BF705" i="7"/>
  <c r="BC705" i="7"/>
  <c r="BB705" i="7"/>
  <c r="BA705" i="7"/>
  <c r="AI705" i="7"/>
  <c r="AD705" i="7"/>
  <c r="AC705" i="7"/>
  <c r="AB705" i="7"/>
  <c r="J705" i="7"/>
  <c r="I705" i="7"/>
  <c r="H705" i="7"/>
  <c r="BM704" i="7"/>
  <c r="BL704" i="7"/>
  <c r="BK704" i="7"/>
  <c r="AX704" i="7"/>
  <c r="AW704" i="7"/>
  <c r="AV704" i="7"/>
  <c r="BM699" i="7"/>
  <c r="BL699" i="7"/>
  <c r="BK699" i="7"/>
  <c r="BF699" i="7"/>
  <c r="BC699" i="7"/>
  <c r="BB699" i="7"/>
  <c r="AD699" i="7"/>
  <c r="AC699" i="7"/>
  <c r="BM698" i="7"/>
  <c r="BL698" i="7"/>
  <c r="BK698" i="7"/>
  <c r="AX698" i="7"/>
  <c r="AW698" i="7"/>
  <c r="AV698" i="7"/>
  <c r="BM697" i="7"/>
  <c r="BL697" i="7"/>
  <c r="BK697" i="7"/>
  <c r="AX697" i="7"/>
  <c r="AW697" i="7"/>
  <c r="AV697" i="7"/>
  <c r="BM696" i="7"/>
  <c r="BL696" i="7"/>
  <c r="BK696" i="7"/>
  <c r="BF696" i="7"/>
  <c r="AX696" i="7"/>
  <c r="AW696" i="7"/>
  <c r="AV696" i="7"/>
  <c r="BM694" i="7"/>
  <c r="BL694" i="7"/>
  <c r="BK694" i="7"/>
  <c r="BH694" i="7"/>
  <c r="BG694" i="7"/>
  <c r="BF694" i="7"/>
  <c r="BC694" i="7"/>
  <c r="BB694" i="7"/>
  <c r="BA694" i="7"/>
  <c r="BM693" i="7"/>
  <c r="BL693" i="7"/>
  <c r="BK693" i="7"/>
  <c r="BH693" i="7"/>
  <c r="BG693" i="7"/>
  <c r="BF693" i="7"/>
  <c r="AX693" i="7"/>
  <c r="AW693" i="7"/>
  <c r="AV693" i="7"/>
  <c r="AX691" i="7"/>
  <c r="AW691" i="7"/>
  <c r="AV691" i="7"/>
  <c r="BC689" i="7"/>
  <c r="BB689" i="7"/>
  <c r="BA689" i="7"/>
  <c r="AX689" i="7"/>
  <c r="AW689" i="7"/>
  <c r="AV689" i="7"/>
  <c r="AS689" i="7"/>
  <c r="AR689" i="7"/>
  <c r="AQ689" i="7"/>
  <c r="AN689" i="7"/>
  <c r="AM689" i="7"/>
  <c r="AL689" i="7"/>
  <c r="AI689" i="7"/>
  <c r="AH689" i="7"/>
  <c r="AG689" i="7"/>
  <c r="AD689" i="7"/>
  <c r="AC689" i="7"/>
  <c r="AB689" i="7"/>
  <c r="Y689" i="7"/>
  <c r="X689" i="7"/>
  <c r="W689" i="7"/>
  <c r="T689" i="7"/>
  <c r="S689" i="7"/>
  <c r="R689" i="7"/>
  <c r="O689" i="7"/>
  <c r="N689" i="7"/>
  <c r="M689" i="7"/>
  <c r="J689" i="7"/>
  <c r="I689" i="7"/>
  <c r="H689" i="7"/>
  <c r="E689" i="7"/>
  <c r="D689" i="7"/>
  <c r="C689" i="7"/>
  <c r="AN688" i="7"/>
  <c r="AM688" i="7"/>
  <c r="AL688" i="7"/>
  <c r="AI688" i="7"/>
  <c r="AH688" i="7"/>
  <c r="AG688" i="7"/>
  <c r="AD688" i="7"/>
  <c r="AC688" i="7"/>
  <c r="AB688" i="7"/>
  <c r="T688" i="7"/>
  <c r="S688" i="7"/>
  <c r="R688" i="7"/>
  <c r="O688" i="7"/>
  <c r="N688" i="7"/>
  <c r="M688" i="7"/>
  <c r="J688" i="7"/>
  <c r="I688" i="7"/>
  <c r="H688" i="7"/>
  <c r="E688" i="7"/>
  <c r="D688" i="7"/>
  <c r="C688" i="7"/>
  <c r="AS687" i="7"/>
  <c r="AR687" i="7"/>
  <c r="AQ687" i="7"/>
  <c r="AN687" i="7"/>
  <c r="AM687" i="7"/>
  <c r="AL687" i="7"/>
  <c r="AI687" i="7"/>
  <c r="AH687" i="7"/>
  <c r="AG687" i="7"/>
  <c r="AD687" i="7"/>
  <c r="AC687" i="7"/>
  <c r="AB687" i="7"/>
  <c r="Y687" i="7"/>
  <c r="X687" i="7"/>
  <c r="W687" i="7"/>
  <c r="T687" i="7"/>
  <c r="S687" i="7"/>
  <c r="R687" i="7"/>
  <c r="O687" i="7"/>
  <c r="N687" i="7"/>
  <c r="M687" i="7"/>
  <c r="J687" i="7"/>
  <c r="I687" i="7"/>
  <c r="H687" i="7"/>
  <c r="E687" i="7"/>
  <c r="D687" i="7"/>
  <c r="C687" i="7"/>
  <c r="BC686" i="7"/>
  <c r="BB686" i="7"/>
  <c r="BA686" i="7"/>
  <c r="AX686" i="7"/>
  <c r="AW686" i="7"/>
  <c r="AV686" i="7"/>
  <c r="AS686" i="7"/>
  <c r="AR686" i="7"/>
  <c r="AQ686" i="7"/>
  <c r="AN686" i="7"/>
  <c r="AM686" i="7"/>
  <c r="AL686" i="7"/>
  <c r="AI686" i="7"/>
  <c r="AH686" i="7"/>
  <c r="AG686" i="7"/>
  <c r="AD686" i="7"/>
  <c r="AC686" i="7"/>
  <c r="AB686" i="7"/>
  <c r="Y686" i="7"/>
  <c r="X686" i="7"/>
  <c r="W686" i="7"/>
  <c r="T686" i="7"/>
  <c r="S686" i="7"/>
  <c r="R686" i="7"/>
  <c r="O686" i="7"/>
  <c r="N686" i="7"/>
  <c r="M686" i="7"/>
  <c r="J686" i="7"/>
  <c r="I686" i="7"/>
  <c r="H686" i="7"/>
  <c r="AS683" i="7"/>
  <c r="AR683" i="7"/>
  <c r="AQ683" i="7"/>
  <c r="AI683" i="7"/>
  <c r="AH683" i="7"/>
  <c r="AG683" i="7"/>
  <c r="AD683" i="7"/>
  <c r="AC683" i="7"/>
  <c r="AB683" i="7"/>
  <c r="T683" i="7"/>
  <c r="S683" i="7"/>
  <c r="R683" i="7"/>
  <c r="O683" i="7"/>
  <c r="N683" i="7"/>
  <c r="M683" i="7"/>
  <c r="J683" i="7"/>
  <c r="I683" i="7"/>
  <c r="H683" i="7"/>
  <c r="AV682" i="7"/>
  <c r="BK681" i="7"/>
  <c r="J681" i="7"/>
  <c r="I681" i="7"/>
  <c r="H681" i="7"/>
  <c r="E681" i="7"/>
  <c r="D681" i="7"/>
  <c r="C681" i="7"/>
  <c r="BM678" i="7"/>
  <c r="BL678" i="7"/>
  <c r="BK678" i="7"/>
  <c r="BF678" i="7"/>
  <c r="AV678" i="7"/>
  <c r="BK677" i="7"/>
  <c r="AI677" i="7"/>
  <c r="AH677" i="7"/>
  <c r="AG677" i="7"/>
  <c r="J677" i="7"/>
  <c r="I677" i="7"/>
  <c r="H677" i="7"/>
  <c r="E677" i="7"/>
  <c r="D677" i="7"/>
  <c r="C677" i="7"/>
  <c r="AX676" i="7"/>
  <c r="AV676" i="7"/>
  <c r="AR676" i="7"/>
  <c r="AQ676" i="7"/>
  <c r="AH676" i="7"/>
  <c r="AG676" i="7"/>
  <c r="J675" i="7"/>
  <c r="I675" i="7"/>
  <c r="BM674" i="7"/>
  <c r="BL674" i="7"/>
  <c r="BK674" i="7"/>
  <c r="BK670" i="7"/>
  <c r="BC669" i="7"/>
  <c r="BB669" i="7"/>
  <c r="BA669" i="7"/>
  <c r="AX669" i="7"/>
  <c r="AW669" i="7"/>
  <c r="AV669" i="7"/>
  <c r="AS669" i="7"/>
  <c r="AR669" i="7"/>
  <c r="AQ669" i="7"/>
  <c r="AN669" i="7"/>
  <c r="AM669" i="7"/>
  <c r="AL669" i="7"/>
  <c r="AI669" i="7"/>
  <c r="AH669" i="7"/>
  <c r="AG669" i="7"/>
  <c r="AD669" i="7"/>
  <c r="AC669" i="7"/>
  <c r="AB669" i="7"/>
  <c r="Y669" i="7"/>
  <c r="X669" i="7"/>
  <c r="W669" i="7"/>
  <c r="O669" i="7"/>
  <c r="N669" i="7"/>
  <c r="M669" i="7"/>
  <c r="J669" i="7"/>
  <c r="I669" i="7"/>
  <c r="H669" i="7"/>
  <c r="AV668" i="7"/>
  <c r="BC667" i="7"/>
  <c r="BB667" i="7"/>
  <c r="BA667" i="7"/>
  <c r="AS667" i="7"/>
  <c r="AR667" i="7"/>
  <c r="AQ667" i="7"/>
  <c r="Y667" i="7"/>
  <c r="X667" i="7"/>
  <c r="W667" i="7"/>
  <c r="J667" i="7"/>
  <c r="I667" i="7"/>
  <c r="H667" i="7"/>
  <c r="E667" i="7"/>
  <c r="D667" i="7"/>
  <c r="C667" i="7"/>
  <c r="J666" i="7"/>
  <c r="I666" i="7"/>
  <c r="H666" i="7"/>
  <c r="AX665" i="7"/>
  <c r="AW665" i="7"/>
  <c r="AV665" i="7"/>
  <c r="J665" i="7"/>
  <c r="I665" i="7"/>
  <c r="H665" i="7"/>
  <c r="AX664" i="7"/>
  <c r="AW664" i="7"/>
  <c r="AV664" i="7"/>
  <c r="AS664" i="7"/>
  <c r="AR664" i="7"/>
  <c r="AQ664" i="7"/>
  <c r="J664" i="7"/>
  <c r="I664" i="7"/>
  <c r="H664" i="7"/>
  <c r="E664" i="7"/>
  <c r="D664" i="7"/>
  <c r="C664" i="7"/>
  <c r="AX663" i="7"/>
  <c r="AW663" i="7"/>
  <c r="AV663" i="7"/>
  <c r="AD663" i="7"/>
  <c r="AB663" i="7"/>
  <c r="N663" i="7"/>
  <c r="AV661" i="7"/>
  <c r="J660" i="7"/>
  <c r="I660" i="7"/>
  <c r="H660" i="7"/>
  <c r="BM658" i="7"/>
  <c r="BL658" i="7"/>
  <c r="BK658" i="7"/>
  <c r="AV658" i="7"/>
  <c r="BM657" i="7"/>
  <c r="BL657" i="7"/>
  <c r="BK657" i="7"/>
  <c r="BC656" i="7"/>
  <c r="BB656" i="7"/>
  <c r="BA656" i="7"/>
  <c r="AS656" i="7"/>
  <c r="AR656" i="7"/>
  <c r="AQ656" i="7"/>
  <c r="AN656" i="7"/>
  <c r="AM656" i="7"/>
  <c r="AL656" i="7"/>
  <c r="AD656" i="7"/>
  <c r="AC656" i="7"/>
  <c r="AB656" i="7"/>
  <c r="Y656" i="7"/>
  <c r="X656" i="7"/>
  <c r="W656" i="7"/>
  <c r="T656" i="7"/>
  <c r="S656" i="7"/>
  <c r="R656" i="7"/>
  <c r="O656" i="7"/>
  <c r="N656" i="7"/>
  <c r="M656" i="7"/>
  <c r="J656" i="7"/>
  <c r="I656" i="7"/>
  <c r="H656" i="7"/>
  <c r="E656" i="7"/>
  <c r="D656" i="7"/>
  <c r="C656" i="7"/>
  <c r="J655" i="7"/>
  <c r="I655" i="7"/>
  <c r="H655" i="7"/>
  <c r="BM653" i="7"/>
  <c r="BL653" i="7"/>
  <c r="BK653" i="7"/>
  <c r="BA653" i="7"/>
  <c r="AX653" i="7"/>
  <c r="AW653" i="7"/>
  <c r="AV653" i="7"/>
  <c r="AD653" i="7"/>
  <c r="AC653" i="7"/>
  <c r="AB653" i="7"/>
  <c r="AV652" i="7"/>
  <c r="J652" i="7"/>
  <c r="I652" i="7"/>
  <c r="H652" i="7"/>
  <c r="BC651" i="7"/>
  <c r="BB651" i="7"/>
  <c r="BA651" i="7"/>
  <c r="AX651" i="7"/>
  <c r="AW651" i="7"/>
  <c r="AV651" i="7"/>
  <c r="AS651" i="7"/>
  <c r="AR651" i="7"/>
  <c r="AQ651" i="7"/>
  <c r="O651" i="7"/>
  <c r="N651" i="7"/>
  <c r="M651" i="7"/>
  <c r="J651" i="7"/>
  <c r="I651" i="7"/>
  <c r="H651" i="7"/>
  <c r="BC650" i="7"/>
  <c r="BB650" i="7"/>
  <c r="BA650" i="7"/>
  <c r="AX650" i="7"/>
  <c r="AW650" i="7"/>
  <c r="AV650" i="7"/>
  <c r="AS650" i="7"/>
  <c r="AR650" i="7"/>
  <c r="AQ650" i="7"/>
  <c r="AI650" i="7"/>
  <c r="AH650" i="7"/>
  <c r="AG650" i="7"/>
  <c r="AC650" i="7"/>
  <c r="Y650" i="7"/>
  <c r="X650" i="7"/>
  <c r="W650" i="7"/>
  <c r="O650" i="7"/>
  <c r="N650" i="7"/>
  <c r="M650" i="7"/>
  <c r="J650" i="7"/>
  <c r="I650" i="7"/>
  <c r="H650" i="7"/>
  <c r="E650" i="7"/>
  <c r="D650" i="7"/>
  <c r="C650" i="7"/>
  <c r="J649" i="7"/>
  <c r="I649" i="7"/>
  <c r="H649" i="7"/>
  <c r="BC647" i="7"/>
  <c r="BB647" i="7"/>
  <c r="BA647" i="7"/>
  <c r="AX647" i="7"/>
  <c r="AW647" i="7"/>
  <c r="AV647" i="7"/>
  <c r="AS647" i="7"/>
  <c r="AR647" i="7"/>
  <c r="AQ647" i="7"/>
  <c r="AN647" i="7"/>
  <c r="AM647" i="7"/>
  <c r="AL647" i="7"/>
  <c r="AD647" i="7"/>
  <c r="AC647" i="7"/>
  <c r="AB647" i="7"/>
  <c r="Y647" i="7"/>
  <c r="X647" i="7"/>
  <c r="W647" i="7"/>
  <c r="T647" i="7"/>
  <c r="S647" i="7"/>
  <c r="R647" i="7"/>
  <c r="O647" i="7"/>
  <c r="N647" i="7"/>
  <c r="M647" i="7"/>
  <c r="J647" i="7"/>
  <c r="I647" i="7"/>
  <c r="H647" i="7"/>
  <c r="E647" i="7"/>
  <c r="D647" i="7"/>
  <c r="C647" i="7"/>
  <c r="AX646" i="7"/>
  <c r="AW646" i="7"/>
  <c r="AV646" i="7"/>
  <c r="J646" i="7"/>
  <c r="I646" i="7"/>
  <c r="H646" i="7"/>
  <c r="BK643" i="7"/>
  <c r="AV643" i="7"/>
  <c r="AI643" i="7"/>
  <c r="AH643" i="7"/>
  <c r="AG643" i="7"/>
  <c r="N643" i="7"/>
  <c r="J643" i="7"/>
  <c r="I643" i="7"/>
  <c r="H643" i="7"/>
  <c r="AX642" i="7"/>
  <c r="AW642" i="7"/>
  <c r="AV642" i="7"/>
  <c r="AI642" i="7"/>
  <c r="AH642" i="7"/>
  <c r="AG642" i="7"/>
  <c r="J642" i="7"/>
  <c r="I642" i="7"/>
  <c r="H642" i="7"/>
  <c r="BC641" i="7"/>
  <c r="BB641" i="7"/>
  <c r="BA641" i="7"/>
  <c r="AX641" i="7"/>
  <c r="AW641" i="7"/>
  <c r="AV641" i="7"/>
  <c r="AS641" i="7"/>
  <c r="AR641" i="7"/>
  <c r="AQ641" i="7"/>
  <c r="AI641" i="7"/>
  <c r="AH641" i="7"/>
  <c r="AG641" i="7"/>
  <c r="AD641" i="7"/>
  <c r="AC641" i="7"/>
  <c r="AB641" i="7"/>
  <c r="Y641" i="7"/>
  <c r="X641" i="7"/>
  <c r="W641" i="7"/>
  <c r="T641" i="7"/>
  <c r="S641" i="7"/>
  <c r="R641" i="7"/>
  <c r="O641" i="7"/>
  <c r="N641" i="7"/>
  <c r="M641" i="7"/>
  <c r="J641" i="7"/>
  <c r="I641" i="7"/>
  <c r="H641" i="7"/>
  <c r="E641" i="7"/>
  <c r="D641" i="7"/>
  <c r="C641" i="7"/>
  <c r="BC638" i="7"/>
  <c r="BB638" i="7"/>
  <c r="BA638" i="7"/>
  <c r="AX638" i="7"/>
  <c r="AW638" i="7"/>
  <c r="AV638" i="7"/>
  <c r="AS638" i="7"/>
  <c r="AR638" i="7"/>
  <c r="AQ638" i="7"/>
  <c r="AD638" i="7"/>
  <c r="AC638" i="7"/>
  <c r="S638" i="7"/>
  <c r="R638" i="7"/>
  <c r="O638" i="7"/>
  <c r="N638" i="7"/>
  <c r="M638" i="7"/>
  <c r="J638" i="7"/>
  <c r="I638" i="7"/>
  <c r="H638" i="7"/>
  <c r="J637" i="7"/>
  <c r="I637" i="7"/>
  <c r="H637" i="7"/>
  <c r="AV636" i="7"/>
  <c r="J636" i="7"/>
  <c r="I636" i="7"/>
  <c r="H636" i="7"/>
  <c r="BM635" i="7"/>
  <c r="BL635" i="7"/>
  <c r="BK635" i="7"/>
  <c r="BC635" i="7"/>
  <c r="BB635" i="7"/>
  <c r="BA635" i="7"/>
  <c r="AX635" i="7"/>
  <c r="AW635" i="7"/>
  <c r="AV635" i="7"/>
  <c r="AI635" i="7"/>
  <c r="AH635" i="7"/>
  <c r="AG635" i="7"/>
  <c r="W635" i="7"/>
  <c r="M635" i="7"/>
  <c r="J635" i="7"/>
  <c r="I635" i="7"/>
  <c r="H635" i="7"/>
  <c r="E635" i="7"/>
  <c r="D635" i="7"/>
  <c r="C635" i="7"/>
  <c r="BK634" i="7"/>
  <c r="BC634" i="7"/>
  <c r="BB634" i="7"/>
  <c r="BA634" i="7"/>
  <c r="AV634" i="7"/>
  <c r="AI634" i="7"/>
  <c r="AH634" i="7"/>
  <c r="AG634" i="7"/>
  <c r="AD634" i="7"/>
  <c r="AC634" i="7"/>
  <c r="T634" i="7"/>
  <c r="R634" i="7"/>
  <c r="O634" i="7"/>
  <c r="N634" i="7"/>
  <c r="M634" i="7"/>
  <c r="J634" i="7"/>
  <c r="I634" i="7"/>
  <c r="H634" i="7"/>
  <c r="E634" i="7"/>
  <c r="D634" i="7"/>
  <c r="C634" i="7"/>
  <c r="BC632" i="7"/>
  <c r="BB632" i="7"/>
  <c r="BA632" i="7"/>
  <c r="AX632" i="7"/>
  <c r="AW632" i="7"/>
  <c r="AV632" i="7"/>
  <c r="AS632" i="7"/>
  <c r="AR632" i="7"/>
  <c r="AQ632" i="7"/>
  <c r="AI632" i="7"/>
  <c r="AH632" i="7"/>
  <c r="AG632" i="7"/>
  <c r="AD632" i="7"/>
  <c r="AC632" i="7"/>
  <c r="AB632" i="7"/>
  <c r="Y632" i="7"/>
  <c r="X632" i="7"/>
  <c r="W632" i="7"/>
  <c r="J632" i="7"/>
  <c r="I632" i="7"/>
  <c r="H632" i="7"/>
  <c r="E632" i="7"/>
  <c r="D632" i="7"/>
  <c r="C632" i="7"/>
  <c r="J630" i="7"/>
  <c r="I630" i="7"/>
  <c r="H630" i="7"/>
  <c r="AI629" i="7"/>
  <c r="AH629" i="7"/>
  <c r="AG629" i="7"/>
  <c r="J629" i="7"/>
  <c r="I629" i="7"/>
  <c r="H629" i="7"/>
  <c r="AI628" i="7"/>
  <c r="AH628" i="7"/>
  <c r="AG628" i="7"/>
  <c r="J628" i="7"/>
  <c r="I628" i="7"/>
  <c r="H628" i="7"/>
  <c r="BK626" i="7"/>
  <c r="AV626" i="7"/>
  <c r="AX625" i="7"/>
  <c r="AW625" i="7"/>
  <c r="AV625" i="7"/>
  <c r="AS625" i="7"/>
  <c r="AR625" i="7"/>
  <c r="AQ625" i="7"/>
  <c r="AD625" i="7"/>
  <c r="AB625" i="7"/>
  <c r="S625" i="7"/>
  <c r="J625" i="7"/>
  <c r="I625" i="7"/>
  <c r="H625" i="7"/>
  <c r="BM624" i="7"/>
  <c r="BL624" i="7"/>
  <c r="BK624" i="7"/>
  <c r="AV624" i="7"/>
  <c r="BC620" i="7"/>
  <c r="BB620" i="7"/>
  <c r="BA620" i="7"/>
  <c r="AX620" i="7"/>
  <c r="AW620" i="7"/>
  <c r="AV620" i="7"/>
  <c r="AS620" i="7"/>
  <c r="AR620" i="7"/>
  <c r="AQ620" i="7"/>
  <c r="AN620" i="7"/>
  <c r="AM620" i="7"/>
  <c r="AL620" i="7"/>
  <c r="AI620" i="7"/>
  <c r="AH620" i="7"/>
  <c r="AG620" i="7"/>
  <c r="AD620" i="7"/>
  <c r="AC620" i="7"/>
  <c r="AB620" i="7"/>
  <c r="Y620" i="7"/>
  <c r="X620" i="7"/>
  <c r="W620" i="7"/>
  <c r="T620" i="7"/>
  <c r="S620" i="7"/>
  <c r="R620" i="7"/>
  <c r="O620" i="7"/>
  <c r="N620" i="7"/>
  <c r="M620" i="7"/>
  <c r="J620" i="7"/>
  <c r="I620" i="7"/>
  <c r="H620" i="7"/>
  <c r="E620" i="7"/>
  <c r="D620" i="7"/>
  <c r="C620" i="7"/>
  <c r="BM619" i="7"/>
  <c r="BL619" i="7"/>
  <c r="BK619" i="7"/>
  <c r="AX619" i="7"/>
  <c r="AW619" i="7"/>
  <c r="BC618" i="7"/>
  <c r="BB618" i="7"/>
  <c r="BA618" i="7"/>
  <c r="AX618" i="7"/>
  <c r="AW618" i="7"/>
  <c r="AV618" i="7"/>
  <c r="AS618" i="7"/>
  <c r="AR618" i="7"/>
  <c r="AQ618" i="7"/>
  <c r="AI618" i="7"/>
  <c r="AH618" i="7"/>
  <c r="AG618" i="7"/>
  <c r="Y618" i="7"/>
  <c r="X618" i="7"/>
  <c r="W618" i="7"/>
  <c r="J618" i="7"/>
  <c r="I618" i="7"/>
  <c r="H618" i="7"/>
  <c r="BK617" i="7"/>
  <c r="BM616" i="7"/>
  <c r="BL616" i="7"/>
  <c r="BK616" i="7"/>
  <c r="AX616" i="7"/>
  <c r="AW616" i="7"/>
  <c r="AV616" i="7"/>
  <c r="AI615" i="7"/>
  <c r="AH615" i="7"/>
  <c r="AG615" i="7"/>
  <c r="J615" i="7"/>
  <c r="I615" i="7"/>
  <c r="H615" i="7"/>
  <c r="BC613" i="7"/>
  <c r="BB613" i="7"/>
  <c r="BA613" i="7"/>
  <c r="AX613" i="7"/>
  <c r="AW613" i="7"/>
  <c r="AV613" i="7"/>
  <c r="AS613" i="7"/>
  <c r="AR613" i="7"/>
  <c r="AQ613" i="7"/>
  <c r="AI613" i="7"/>
  <c r="AH613" i="7"/>
  <c r="AG613" i="7"/>
  <c r="AD613" i="7"/>
  <c r="AC613" i="7"/>
  <c r="AB613" i="7"/>
  <c r="Y613" i="7"/>
  <c r="X613" i="7"/>
  <c r="W613" i="7"/>
  <c r="T613" i="7"/>
  <c r="S613" i="7"/>
  <c r="R613" i="7"/>
  <c r="O613" i="7"/>
  <c r="N613" i="7"/>
  <c r="M613" i="7"/>
  <c r="J613" i="7"/>
  <c r="I613" i="7"/>
  <c r="H613" i="7"/>
  <c r="E613" i="7"/>
  <c r="D613" i="7"/>
  <c r="C613" i="7"/>
  <c r="BM612" i="7"/>
  <c r="BL612" i="7"/>
  <c r="BK612" i="7"/>
  <c r="BC612" i="7"/>
  <c r="BB612" i="7"/>
  <c r="BA612" i="7"/>
  <c r="AX612" i="7"/>
  <c r="AW612" i="7"/>
  <c r="AV612" i="7"/>
  <c r="AS612" i="7"/>
  <c r="AR612" i="7"/>
  <c r="AQ612" i="7"/>
  <c r="AN612" i="7"/>
  <c r="AM612" i="7"/>
  <c r="AL612" i="7"/>
  <c r="AI612" i="7"/>
  <c r="AH612" i="7"/>
  <c r="AG612" i="7"/>
  <c r="AD612" i="7"/>
  <c r="AC612" i="7"/>
  <c r="AB612" i="7"/>
  <c r="Y612" i="7"/>
  <c r="X612" i="7"/>
  <c r="W612" i="7"/>
  <c r="T612" i="7"/>
  <c r="S612" i="7"/>
  <c r="R612" i="7"/>
  <c r="O612" i="7"/>
  <c r="N612" i="7"/>
  <c r="M612" i="7"/>
  <c r="J612" i="7"/>
  <c r="I612" i="7"/>
  <c r="H612" i="7"/>
  <c r="E612" i="7"/>
  <c r="D612" i="7"/>
  <c r="C612" i="7"/>
  <c r="BM610" i="7"/>
  <c r="BL610" i="7"/>
  <c r="BK610" i="7"/>
  <c r="BK606" i="7"/>
  <c r="BM605" i="7"/>
  <c r="BL605" i="7"/>
  <c r="BK605" i="7"/>
  <c r="BA605" i="7"/>
  <c r="AX605" i="7"/>
  <c r="AW605" i="7"/>
  <c r="AV605" i="7"/>
  <c r="AI605" i="7"/>
  <c r="AH605" i="7"/>
  <c r="AG605" i="7"/>
  <c r="W605" i="7"/>
  <c r="O605" i="7"/>
  <c r="N605" i="7"/>
  <c r="M605" i="7"/>
  <c r="J605" i="7"/>
  <c r="I605" i="7"/>
  <c r="H605" i="7"/>
  <c r="BM604" i="7"/>
  <c r="BL604" i="7"/>
  <c r="BK604" i="7"/>
  <c r="BH604" i="7"/>
  <c r="BG604" i="7"/>
  <c r="BF604" i="7"/>
  <c r="BC604" i="7"/>
  <c r="BB604" i="7"/>
  <c r="BA604" i="7"/>
  <c r="BM603" i="7"/>
  <c r="BL603" i="7"/>
  <c r="BK603" i="7"/>
  <c r="BH603" i="7"/>
  <c r="BG603" i="7"/>
  <c r="BF603" i="7"/>
  <c r="BC603" i="7"/>
  <c r="BB603" i="7"/>
  <c r="BA603" i="7"/>
  <c r="BM602" i="7"/>
  <c r="BL602" i="7"/>
  <c r="BK602" i="7"/>
  <c r="BF602" i="7"/>
  <c r="BC602" i="7"/>
  <c r="BB602" i="7"/>
  <c r="BA602" i="7"/>
  <c r="J602" i="7"/>
  <c r="I602" i="7"/>
  <c r="H602" i="7"/>
  <c r="BM601" i="7"/>
  <c r="BL601" i="7"/>
  <c r="BK601" i="7"/>
  <c r="BF601" i="7"/>
  <c r="J601" i="7"/>
  <c r="I601" i="7"/>
  <c r="H601" i="7"/>
  <c r="BM600" i="7"/>
  <c r="BL600" i="7"/>
  <c r="BK600" i="7"/>
  <c r="BC600" i="7"/>
  <c r="BB600" i="7"/>
  <c r="BA600" i="7"/>
  <c r="BM599" i="7"/>
  <c r="BL599" i="7"/>
  <c r="BK599" i="7"/>
  <c r="BC599" i="7"/>
  <c r="BB599" i="7"/>
  <c r="BA599" i="7"/>
  <c r="BM598" i="7"/>
  <c r="BL598" i="7"/>
  <c r="BK598" i="7"/>
  <c r="BF598" i="7"/>
  <c r="BC598" i="7"/>
  <c r="BB598" i="7"/>
  <c r="BA598" i="7"/>
  <c r="AX598" i="7"/>
  <c r="AW598" i="7"/>
  <c r="AV598" i="7"/>
  <c r="AI598" i="7"/>
  <c r="AH598" i="7"/>
  <c r="AG598" i="7"/>
  <c r="AD598" i="7"/>
  <c r="AC598" i="7"/>
  <c r="AB598" i="7"/>
  <c r="R598" i="7"/>
  <c r="O598" i="7"/>
  <c r="N598" i="7"/>
  <c r="J598" i="7"/>
  <c r="I598" i="7"/>
  <c r="H598" i="7"/>
  <c r="BM597" i="7"/>
  <c r="BL597" i="7"/>
  <c r="BK597" i="7"/>
  <c r="J597" i="7"/>
  <c r="I597" i="7"/>
  <c r="H597" i="7"/>
  <c r="BM596" i="7"/>
  <c r="BL596" i="7"/>
  <c r="BK596" i="7"/>
  <c r="BH596" i="7"/>
  <c r="BG596" i="7"/>
  <c r="BC596" i="7"/>
  <c r="BB596" i="7"/>
  <c r="BA596" i="7"/>
  <c r="AX594" i="7"/>
  <c r="AW594" i="7"/>
  <c r="AV594" i="7"/>
  <c r="BK593" i="7"/>
  <c r="BC593" i="7"/>
  <c r="BB593" i="7"/>
  <c r="BA593" i="7"/>
  <c r="AX593" i="7"/>
  <c r="AW593" i="7"/>
  <c r="AV593" i="7"/>
  <c r="AS593" i="7"/>
  <c r="AR593" i="7"/>
  <c r="AQ593" i="7"/>
  <c r="AI593" i="7"/>
  <c r="AH593" i="7"/>
  <c r="AG593" i="7"/>
  <c r="Y593" i="7"/>
  <c r="X593" i="7"/>
  <c r="W593" i="7"/>
  <c r="O593" i="7"/>
  <c r="N593" i="7"/>
  <c r="M593" i="7"/>
  <c r="J593" i="7"/>
  <c r="I593" i="7"/>
  <c r="H593" i="7"/>
  <c r="E593" i="7"/>
  <c r="D593" i="7"/>
  <c r="C593" i="7"/>
  <c r="BM592" i="7"/>
  <c r="BL592" i="7"/>
  <c r="BK592" i="7"/>
  <c r="BH592" i="7"/>
  <c r="BG592" i="7"/>
  <c r="BF592" i="7"/>
  <c r="AX592" i="7"/>
  <c r="AW592" i="7"/>
  <c r="AV592" i="7"/>
  <c r="AS592" i="7"/>
  <c r="AR592" i="7"/>
  <c r="AQ592" i="7"/>
  <c r="AI592" i="7"/>
  <c r="AH592" i="7"/>
  <c r="AG592" i="7"/>
  <c r="AD592" i="7"/>
  <c r="AC592" i="7"/>
  <c r="AB592" i="7"/>
  <c r="X592" i="7"/>
  <c r="W592" i="7"/>
  <c r="T592" i="7"/>
  <c r="S592" i="7"/>
  <c r="R592" i="7"/>
  <c r="O592" i="7"/>
  <c r="N592" i="7"/>
  <c r="M592" i="7"/>
  <c r="J592" i="7"/>
  <c r="I592" i="7"/>
  <c r="H592" i="7"/>
  <c r="E592" i="7"/>
  <c r="D592" i="7"/>
  <c r="C592" i="7"/>
  <c r="BC591" i="7"/>
  <c r="BB591" i="7"/>
  <c r="BA591" i="7"/>
  <c r="AX591" i="7"/>
  <c r="AW591" i="7"/>
  <c r="AV591" i="7"/>
  <c r="AS591" i="7"/>
  <c r="AR591" i="7"/>
  <c r="AQ591" i="7"/>
  <c r="AN591" i="7"/>
  <c r="AM591" i="7"/>
  <c r="AL591" i="7"/>
  <c r="AI591" i="7"/>
  <c r="AH591" i="7"/>
  <c r="AG591" i="7"/>
  <c r="AD591" i="7"/>
  <c r="AC591" i="7"/>
  <c r="AB591" i="7"/>
  <c r="Y591" i="7"/>
  <c r="X591" i="7"/>
  <c r="W591" i="7"/>
  <c r="T591" i="7"/>
  <c r="S591" i="7"/>
  <c r="R591" i="7"/>
  <c r="O591" i="7"/>
  <c r="N591" i="7"/>
  <c r="M591" i="7"/>
  <c r="J591" i="7"/>
  <c r="I591" i="7"/>
  <c r="H591" i="7"/>
  <c r="E591" i="7"/>
  <c r="D591" i="7"/>
  <c r="C591" i="7"/>
  <c r="BH590" i="7"/>
  <c r="BG590" i="7"/>
  <c r="BF590" i="7"/>
  <c r="BC590" i="7"/>
  <c r="BB590" i="7"/>
  <c r="BA590" i="7"/>
  <c r="AX590" i="7"/>
  <c r="AW590" i="7"/>
  <c r="AV590" i="7"/>
  <c r="AD590" i="7"/>
  <c r="AC590" i="7"/>
  <c r="AB590" i="7"/>
  <c r="Y590" i="7"/>
  <c r="X590" i="7"/>
  <c r="W590" i="7"/>
  <c r="T590" i="7"/>
  <c r="R590" i="7"/>
  <c r="O590" i="7"/>
  <c r="N590" i="7"/>
  <c r="M590" i="7"/>
  <c r="J590" i="7"/>
  <c r="I590" i="7"/>
  <c r="H590" i="7"/>
  <c r="BM589" i="7"/>
  <c r="BL589" i="7"/>
  <c r="BK589" i="7"/>
  <c r="BH589" i="7"/>
  <c r="BG589" i="7"/>
  <c r="BF589" i="7"/>
  <c r="AX589" i="7"/>
  <c r="AW589" i="7"/>
  <c r="AV589" i="7"/>
  <c r="J589" i="7"/>
  <c r="I589" i="7"/>
  <c r="H589" i="7"/>
  <c r="BM588" i="7"/>
  <c r="BL588" i="7"/>
  <c r="BK588" i="7"/>
  <c r="BF588" i="7"/>
  <c r="BA588" i="7"/>
  <c r="AX588" i="7"/>
  <c r="AW588" i="7"/>
  <c r="AV588" i="7"/>
  <c r="BH587" i="7"/>
  <c r="BG587" i="7"/>
  <c r="BF587" i="7"/>
  <c r="BC587" i="7"/>
  <c r="BB587" i="7"/>
  <c r="BA587" i="7"/>
  <c r="AX587" i="7"/>
  <c r="AW587" i="7"/>
  <c r="AV587" i="7"/>
  <c r="AS587" i="7"/>
  <c r="AR587" i="7"/>
  <c r="AQ587" i="7"/>
  <c r="AI587" i="7"/>
  <c r="AH587" i="7"/>
  <c r="AG587" i="7"/>
  <c r="J587" i="7"/>
  <c r="I587" i="7"/>
  <c r="H587" i="7"/>
  <c r="E587" i="7"/>
  <c r="D587" i="7"/>
  <c r="C587" i="7"/>
  <c r="BM586" i="7"/>
  <c r="BL586" i="7"/>
  <c r="BK586" i="7"/>
  <c r="BH586" i="7"/>
  <c r="BG586" i="7"/>
  <c r="J586" i="7"/>
  <c r="I586" i="7"/>
  <c r="H586" i="7"/>
  <c r="BH585" i="7"/>
  <c r="BG585" i="7"/>
  <c r="BF585" i="7"/>
  <c r="BC585" i="7"/>
  <c r="BB585" i="7"/>
  <c r="BA585" i="7"/>
  <c r="AX585" i="7"/>
  <c r="AW585" i="7"/>
  <c r="AV585" i="7"/>
  <c r="AS585" i="7"/>
  <c r="AR585" i="7"/>
  <c r="AQ585" i="7"/>
  <c r="AI585" i="7"/>
  <c r="AH585" i="7"/>
  <c r="AG585" i="7"/>
  <c r="AB585" i="7"/>
  <c r="S585" i="7"/>
  <c r="R585" i="7"/>
  <c r="O585" i="7"/>
  <c r="N585" i="7"/>
  <c r="M585" i="7"/>
  <c r="J585" i="7"/>
  <c r="I585" i="7"/>
  <c r="H585" i="7"/>
  <c r="E585" i="7"/>
  <c r="D585" i="7"/>
  <c r="C585" i="7"/>
  <c r="BC582" i="7"/>
  <c r="BB582" i="7"/>
  <c r="BA582" i="7"/>
  <c r="AX582" i="7"/>
  <c r="AW582" i="7"/>
  <c r="AV582" i="7"/>
  <c r="AS582" i="7"/>
  <c r="AR582" i="7"/>
  <c r="AQ582" i="7"/>
  <c r="AD582" i="7"/>
  <c r="AC582" i="7"/>
  <c r="AB582" i="7"/>
  <c r="Y582" i="7"/>
  <c r="X582" i="7"/>
  <c r="W582" i="7"/>
  <c r="T582" i="7"/>
  <c r="S582" i="7"/>
  <c r="R582" i="7"/>
  <c r="J582" i="7"/>
  <c r="I582" i="7"/>
  <c r="H582" i="7"/>
  <c r="E582" i="7"/>
  <c r="D582" i="7"/>
  <c r="C582" i="7"/>
  <c r="BM581" i="7"/>
  <c r="BL581" i="7"/>
  <c r="BK581" i="7"/>
  <c r="BH581" i="7"/>
  <c r="BG581" i="7"/>
  <c r="BC581" i="7"/>
  <c r="BB581" i="7"/>
  <c r="BA581" i="7"/>
  <c r="AX581" i="7"/>
  <c r="AW581" i="7"/>
  <c r="AV581" i="7"/>
  <c r="AG581" i="7"/>
  <c r="J581" i="7"/>
  <c r="I581" i="7"/>
  <c r="H581" i="7"/>
  <c r="E581" i="7"/>
  <c r="D581" i="7"/>
  <c r="C581" i="7"/>
  <c r="BM580" i="7"/>
  <c r="BL580" i="7"/>
  <c r="BK580" i="7"/>
  <c r="BH580" i="7"/>
  <c r="BG580" i="7"/>
  <c r="BF580" i="7"/>
  <c r="BC580" i="7"/>
  <c r="BB580" i="7"/>
  <c r="BA580" i="7"/>
  <c r="AI580" i="7"/>
  <c r="AH580" i="7"/>
  <c r="AG580" i="7"/>
  <c r="AB580" i="7"/>
  <c r="J580" i="7"/>
  <c r="I580" i="7"/>
  <c r="H580" i="7"/>
  <c r="BM579" i="7"/>
  <c r="BL579" i="7"/>
  <c r="BK579" i="7"/>
  <c r="BC579" i="7"/>
  <c r="BB579" i="7"/>
  <c r="BA579" i="7"/>
  <c r="AX579" i="7"/>
  <c r="AW579" i="7"/>
  <c r="AV579" i="7"/>
  <c r="AS579" i="7"/>
  <c r="AR579" i="7"/>
  <c r="AQ579" i="7"/>
  <c r="AI579" i="7"/>
  <c r="AH579" i="7"/>
  <c r="AG579" i="7"/>
  <c r="AD579" i="7"/>
  <c r="AC579" i="7"/>
  <c r="AB579" i="7"/>
  <c r="Y579" i="7"/>
  <c r="X579" i="7"/>
  <c r="W579" i="7"/>
  <c r="T579" i="7"/>
  <c r="S579" i="7"/>
  <c r="R579" i="7"/>
  <c r="O579" i="7"/>
  <c r="N579" i="7"/>
  <c r="M579" i="7"/>
  <c r="J579" i="7"/>
  <c r="I579" i="7"/>
  <c r="H579" i="7"/>
  <c r="E579" i="7"/>
  <c r="D579" i="7"/>
  <c r="C579" i="7"/>
  <c r="BM577" i="7"/>
  <c r="BL577" i="7"/>
  <c r="BK577" i="7"/>
  <c r="BH577" i="7"/>
  <c r="BG577" i="7"/>
  <c r="BF577" i="7"/>
  <c r="BC577" i="7"/>
  <c r="BB577" i="7"/>
  <c r="BA577" i="7"/>
  <c r="J577" i="7"/>
  <c r="I577" i="7"/>
  <c r="H577" i="7"/>
  <c r="BM576" i="7"/>
  <c r="BL576" i="7"/>
  <c r="BK576" i="7"/>
  <c r="AX576" i="7"/>
  <c r="AW576" i="7"/>
  <c r="AV576" i="7"/>
  <c r="J576" i="7"/>
  <c r="I576" i="7"/>
  <c r="H576" i="7"/>
  <c r="BM575" i="7"/>
  <c r="BL575" i="7"/>
  <c r="BK575" i="7"/>
  <c r="BH575" i="7"/>
  <c r="BG575" i="7"/>
  <c r="BF575" i="7"/>
  <c r="BA575" i="7"/>
  <c r="AX575" i="7"/>
  <c r="AW575" i="7"/>
  <c r="AV575" i="7"/>
  <c r="BM573" i="7"/>
  <c r="BL573" i="7"/>
  <c r="BK573" i="7"/>
  <c r="BH573" i="7"/>
  <c r="BG573" i="7"/>
  <c r="BC573" i="7"/>
  <c r="BB573" i="7"/>
  <c r="BA573" i="7"/>
  <c r="AX573" i="7"/>
  <c r="AW573" i="7"/>
  <c r="AV573" i="7"/>
  <c r="AI573" i="7"/>
  <c r="AH573" i="7"/>
  <c r="AG573" i="7"/>
  <c r="J573" i="7"/>
  <c r="I573" i="7"/>
  <c r="H573" i="7"/>
  <c r="BC572" i="7"/>
  <c r="BB572" i="7"/>
  <c r="BA572" i="7"/>
  <c r="AX572" i="7"/>
  <c r="AW572" i="7"/>
  <c r="AV572" i="7"/>
  <c r="AS572" i="7"/>
  <c r="AR572" i="7"/>
  <c r="AQ572" i="7"/>
  <c r="AN572" i="7"/>
  <c r="AM572" i="7"/>
  <c r="AL572" i="7"/>
  <c r="AI572" i="7"/>
  <c r="AH572" i="7"/>
  <c r="AG572" i="7"/>
  <c r="AD572" i="7"/>
  <c r="AC572" i="7"/>
  <c r="AB572" i="7"/>
  <c r="Y572" i="7"/>
  <c r="X572" i="7"/>
  <c r="W572" i="7"/>
  <c r="T572" i="7"/>
  <c r="S572" i="7"/>
  <c r="R572" i="7"/>
  <c r="O572" i="7"/>
  <c r="N572" i="7"/>
  <c r="M572" i="7"/>
  <c r="J572" i="7"/>
  <c r="I572" i="7"/>
  <c r="H572" i="7"/>
  <c r="E572" i="7"/>
  <c r="D572" i="7"/>
  <c r="C572" i="7"/>
  <c r="BC570" i="7"/>
  <c r="BB570" i="7"/>
  <c r="BA570" i="7"/>
  <c r="AX570" i="7"/>
  <c r="AW570" i="7"/>
  <c r="AV570" i="7"/>
  <c r="J570" i="7"/>
  <c r="I570" i="7"/>
  <c r="H570" i="7"/>
  <c r="BC569" i="7"/>
  <c r="BB569" i="7"/>
  <c r="BA569" i="7"/>
  <c r="AX569" i="7"/>
  <c r="AW569" i="7"/>
  <c r="AV569" i="7"/>
  <c r="AS569" i="7"/>
  <c r="AR569" i="7"/>
  <c r="AQ569" i="7"/>
  <c r="AN569" i="7"/>
  <c r="AM569" i="7"/>
  <c r="AL569" i="7"/>
  <c r="AI569" i="7"/>
  <c r="AH569" i="7"/>
  <c r="AG569" i="7"/>
  <c r="AD569" i="7"/>
  <c r="AC569" i="7"/>
  <c r="AB569" i="7"/>
  <c r="Y569" i="7"/>
  <c r="X569" i="7"/>
  <c r="W569" i="7"/>
  <c r="T569" i="7"/>
  <c r="S569" i="7"/>
  <c r="R569" i="7"/>
  <c r="O569" i="7"/>
  <c r="N569" i="7"/>
  <c r="M569" i="7"/>
  <c r="J569" i="7"/>
  <c r="I569" i="7"/>
  <c r="H569" i="7"/>
  <c r="E569" i="7"/>
  <c r="D569" i="7"/>
  <c r="C569" i="7"/>
  <c r="BM567" i="7"/>
  <c r="BL567" i="7"/>
  <c r="BK567" i="7"/>
  <c r="BF567" i="7"/>
  <c r="AX567" i="7"/>
  <c r="AW567" i="7"/>
  <c r="AV567" i="7"/>
  <c r="BC565" i="7"/>
  <c r="BB565" i="7"/>
  <c r="BA565" i="7"/>
  <c r="AX565" i="7"/>
  <c r="AW565" i="7"/>
  <c r="AV565" i="7"/>
  <c r="AS565" i="7"/>
  <c r="AR565" i="7"/>
  <c r="AQ565" i="7"/>
  <c r="AI565" i="7"/>
  <c r="AH565" i="7"/>
  <c r="AG565" i="7"/>
  <c r="AD565" i="7"/>
  <c r="AC565" i="7"/>
  <c r="AB565" i="7"/>
  <c r="Y565" i="7"/>
  <c r="X565" i="7"/>
  <c r="W565" i="7"/>
  <c r="T565" i="7"/>
  <c r="S565" i="7"/>
  <c r="R565" i="7"/>
  <c r="O565" i="7"/>
  <c r="N565" i="7"/>
  <c r="M565" i="7"/>
  <c r="J565" i="7"/>
  <c r="I565" i="7"/>
  <c r="H565" i="7"/>
  <c r="E565" i="7"/>
  <c r="D565" i="7"/>
  <c r="C565" i="7"/>
  <c r="BM563" i="7"/>
  <c r="BL563" i="7"/>
  <c r="BK563" i="7"/>
  <c r="BH563" i="7"/>
  <c r="BG563" i="7"/>
  <c r="BF563" i="7"/>
  <c r="BC563" i="7"/>
  <c r="BB563" i="7"/>
  <c r="BA563" i="7"/>
  <c r="AX563" i="7"/>
  <c r="AW563" i="7"/>
  <c r="AV563" i="7"/>
  <c r="AI563" i="7"/>
  <c r="AH563" i="7"/>
  <c r="AG563" i="7"/>
  <c r="AD563" i="7"/>
  <c r="AC563" i="7"/>
  <c r="AB563" i="7"/>
  <c r="W563" i="7"/>
  <c r="S563" i="7"/>
  <c r="R563" i="7"/>
  <c r="O563" i="7"/>
  <c r="N563" i="7"/>
  <c r="M563" i="7"/>
  <c r="J563" i="7"/>
  <c r="I563" i="7"/>
  <c r="H563" i="7"/>
  <c r="E563" i="7"/>
  <c r="D563" i="7"/>
  <c r="C563" i="7"/>
  <c r="BM562" i="7"/>
  <c r="BL562" i="7"/>
  <c r="BK562" i="7"/>
  <c r="AX562" i="7"/>
  <c r="AW562" i="7"/>
  <c r="AV562" i="7"/>
  <c r="J562" i="7"/>
  <c r="I562" i="7"/>
  <c r="H562" i="7"/>
  <c r="BC560" i="7"/>
  <c r="BB560" i="7"/>
  <c r="BA560" i="7"/>
  <c r="AS560" i="7"/>
  <c r="AR560" i="7"/>
  <c r="AQ560" i="7"/>
  <c r="AD560" i="7"/>
  <c r="AC560" i="7"/>
  <c r="AB560" i="7"/>
  <c r="Y560" i="7"/>
  <c r="X560" i="7"/>
  <c r="W560" i="7"/>
  <c r="T560" i="7"/>
  <c r="S560" i="7"/>
  <c r="R560" i="7"/>
  <c r="J560" i="7"/>
  <c r="I560" i="7"/>
  <c r="H560" i="7"/>
  <c r="BC559" i="7"/>
  <c r="BB559" i="7"/>
  <c r="BA559" i="7"/>
  <c r="AX559" i="7"/>
  <c r="AW559" i="7"/>
  <c r="AV559" i="7"/>
  <c r="AS559" i="7"/>
  <c r="AR559" i="7"/>
  <c r="AQ559" i="7"/>
  <c r="AD559" i="7"/>
  <c r="AC559" i="7"/>
  <c r="AB559" i="7"/>
  <c r="O559" i="7"/>
  <c r="N559" i="7"/>
  <c r="M559" i="7"/>
  <c r="J559" i="7"/>
  <c r="I559" i="7"/>
  <c r="H559" i="7"/>
  <c r="BM558" i="7"/>
  <c r="BL558" i="7"/>
  <c r="BK558" i="7"/>
  <c r="AX558" i="7"/>
  <c r="AW558" i="7"/>
  <c r="AV558" i="7"/>
  <c r="BC557" i="7"/>
  <c r="BB557" i="7"/>
  <c r="BA557" i="7"/>
  <c r="AX557" i="7"/>
  <c r="AW557" i="7"/>
  <c r="AV557" i="7"/>
  <c r="AS557" i="7"/>
  <c r="AR557" i="7"/>
  <c r="AQ557" i="7"/>
  <c r="AI557" i="7"/>
  <c r="AH557" i="7"/>
  <c r="AG557" i="7"/>
  <c r="J557" i="7"/>
  <c r="I557" i="7"/>
  <c r="H557" i="7"/>
  <c r="BM556" i="7"/>
  <c r="BL556" i="7"/>
  <c r="BK556" i="7"/>
  <c r="BH556" i="7"/>
  <c r="BG556" i="7"/>
  <c r="BF556" i="7"/>
  <c r="BC556" i="7"/>
  <c r="BB556" i="7"/>
  <c r="BA556" i="7"/>
  <c r="AX556" i="7"/>
  <c r="AW556" i="7"/>
  <c r="AV556" i="7"/>
  <c r="AS556" i="7"/>
  <c r="AR556" i="7"/>
  <c r="AQ556" i="7"/>
  <c r="AI556" i="7"/>
  <c r="AH556" i="7"/>
  <c r="AG556" i="7"/>
  <c r="AD556" i="7"/>
  <c r="AC556" i="7"/>
  <c r="AB556" i="7"/>
  <c r="R556" i="7"/>
  <c r="O556" i="7"/>
  <c r="N556" i="7"/>
  <c r="J556" i="7"/>
  <c r="I556" i="7"/>
  <c r="H556" i="7"/>
  <c r="E556" i="7"/>
  <c r="D556" i="7"/>
  <c r="C556" i="7"/>
  <c r="BM555" i="7"/>
  <c r="BL555" i="7"/>
  <c r="BK555" i="7"/>
  <c r="BC555" i="7"/>
  <c r="BB555" i="7"/>
  <c r="AH555" i="7"/>
  <c r="AG555" i="7"/>
  <c r="AD555" i="7"/>
  <c r="AC555" i="7"/>
  <c r="AB555" i="7"/>
  <c r="O555" i="7"/>
  <c r="J555" i="7"/>
  <c r="I555" i="7"/>
  <c r="H555" i="7"/>
  <c r="BC554" i="7"/>
  <c r="BB554" i="7"/>
  <c r="BA554" i="7"/>
  <c r="AX554" i="7"/>
  <c r="AW554" i="7"/>
  <c r="AV554" i="7"/>
  <c r="AS554" i="7"/>
  <c r="AR554" i="7"/>
  <c r="AQ554" i="7"/>
  <c r="Y554" i="7"/>
  <c r="X554" i="7"/>
  <c r="W554" i="7"/>
  <c r="T554" i="7"/>
  <c r="S554" i="7"/>
  <c r="R554" i="7"/>
  <c r="O554" i="7"/>
  <c r="N554" i="7"/>
  <c r="M554" i="7"/>
  <c r="J554" i="7"/>
  <c r="I554" i="7"/>
  <c r="H554" i="7"/>
  <c r="E554" i="7"/>
  <c r="D554" i="7"/>
  <c r="C554" i="7"/>
  <c r="BM553" i="7"/>
  <c r="BL553" i="7"/>
  <c r="BK553" i="7"/>
  <c r="BH553" i="7"/>
  <c r="BG553" i="7"/>
  <c r="BF553" i="7"/>
  <c r="BC553" i="7"/>
  <c r="BB553" i="7"/>
  <c r="BA553" i="7"/>
  <c r="AX553" i="7"/>
  <c r="AW553" i="7"/>
  <c r="AV553" i="7"/>
  <c r="AI553" i="7"/>
  <c r="AH553" i="7"/>
  <c r="AG553" i="7"/>
  <c r="AB553" i="7"/>
  <c r="O553" i="7"/>
  <c r="N553" i="7"/>
  <c r="M553" i="7"/>
  <c r="J553" i="7"/>
  <c r="I553" i="7"/>
  <c r="H553" i="7"/>
  <c r="E553" i="7"/>
  <c r="D553" i="7"/>
  <c r="C553" i="7"/>
  <c r="BH552" i="7"/>
  <c r="BG552" i="7"/>
  <c r="BF552" i="7"/>
  <c r="BA552" i="7"/>
  <c r="AX552" i="7"/>
  <c r="AW552" i="7"/>
  <c r="AV552" i="7"/>
  <c r="BC550" i="7"/>
  <c r="BB550" i="7"/>
  <c r="BA550" i="7"/>
  <c r="AX550" i="7"/>
  <c r="AW550" i="7"/>
  <c r="AV550" i="7"/>
  <c r="AS550" i="7"/>
  <c r="AR550" i="7"/>
  <c r="AQ550" i="7"/>
  <c r="T550" i="7"/>
  <c r="S550" i="7"/>
  <c r="R550" i="7"/>
  <c r="J550" i="7"/>
  <c r="I550" i="7"/>
  <c r="H550" i="7"/>
  <c r="E550" i="7"/>
  <c r="D550" i="7"/>
  <c r="C550" i="7"/>
  <c r="BC549" i="7"/>
  <c r="BB549" i="7"/>
  <c r="BA549" i="7"/>
  <c r="AS549" i="7"/>
  <c r="AR549" i="7"/>
  <c r="AQ549" i="7"/>
  <c r="AI549" i="7"/>
  <c r="AH549" i="7"/>
  <c r="AG549" i="7"/>
  <c r="AD549" i="7"/>
  <c r="AC549" i="7"/>
  <c r="AB549" i="7"/>
  <c r="Y549" i="7"/>
  <c r="X549" i="7"/>
  <c r="W549" i="7"/>
  <c r="T549" i="7"/>
  <c r="S549" i="7"/>
  <c r="R549" i="7"/>
  <c r="O549" i="7"/>
  <c r="N549" i="7"/>
  <c r="M549" i="7"/>
  <c r="J549" i="7"/>
  <c r="I549" i="7"/>
  <c r="H549" i="7"/>
  <c r="BM548" i="7"/>
  <c r="BL548" i="7"/>
  <c r="BC548" i="7"/>
  <c r="BB548" i="7"/>
  <c r="BA548" i="7"/>
  <c r="AX548" i="7"/>
  <c r="AW548" i="7"/>
  <c r="AV548" i="7"/>
  <c r="AS548" i="7"/>
  <c r="AR548" i="7"/>
  <c r="AQ548" i="7"/>
  <c r="AN548" i="7"/>
  <c r="AM548" i="7"/>
  <c r="AL548" i="7"/>
  <c r="AI548" i="7"/>
  <c r="AH548" i="7"/>
  <c r="AG548" i="7"/>
  <c r="AD548" i="7"/>
  <c r="AC548" i="7"/>
  <c r="AB548" i="7"/>
  <c r="Y548" i="7"/>
  <c r="X548" i="7"/>
  <c r="W548" i="7"/>
  <c r="T548" i="7"/>
  <c r="S548" i="7"/>
  <c r="R548" i="7"/>
  <c r="O548" i="7"/>
  <c r="N548" i="7"/>
  <c r="M548" i="7"/>
  <c r="J548" i="7"/>
  <c r="I548" i="7"/>
  <c r="H548" i="7"/>
  <c r="E548" i="7"/>
  <c r="D548" i="7"/>
  <c r="C548" i="7"/>
  <c r="BH547" i="7"/>
  <c r="BG547" i="7"/>
  <c r="BF547" i="7"/>
  <c r="BC547" i="7"/>
  <c r="BB547" i="7"/>
  <c r="BA547" i="7"/>
  <c r="AI547" i="7"/>
  <c r="AH547" i="7"/>
  <c r="AG547" i="7"/>
  <c r="J547" i="7"/>
  <c r="I547" i="7"/>
  <c r="H547" i="7"/>
  <c r="BM546" i="7"/>
  <c r="BL546" i="7"/>
  <c r="BF546" i="7"/>
  <c r="BC546" i="7"/>
  <c r="BB546" i="7"/>
  <c r="BA546" i="7"/>
  <c r="AX546" i="7"/>
  <c r="AW546" i="7"/>
  <c r="AV546" i="7"/>
  <c r="BH545" i="7"/>
  <c r="BG545" i="7"/>
  <c r="BF545" i="7"/>
  <c r="AV545" i="7"/>
  <c r="BM544" i="7"/>
  <c r="BL544" i="7"/>
  <c r="BK544" i="7"/>
  <c r="AX544" i="7"/>
  <c r="AW544" i="7"/>
  <c r="AV544" i="7"/>
  <c r="BK542" i="7"/>
  <c r="BH542" i="7"/>
  <c r="BG542" i="7"/>
  <c r="BF542" i="7"/>
  <c r="BC542" i="7"/>
  <c r="BB542" i="7"/>
  <c r="BA542" i="7"/>
  <c r="AX542" i="7"/>
  <c r="AW542" i="7"/>
  <c r="AV542" i="7"/>
  <c r="J542" i="7"/>
  <c r="I542" i="7"/>
  <c r="H542" i="7"/>
  <c r="BM540" i="7"/>
  <c r="BL540" i="7"/>
  <c r="BK540" i="7"/>
  <c r="BH540" i="7"/>
  <c r="BG540" i="7"/>
  <c r="BF540" i="7"/>
  <c r="AV540" i="7"/>
  <c r="J539" i="7"/>
  <c r="I539" i="7"/>
  <c r="H539" i="7"/>
  <c r="BC536" i="7"/>
  <c r="BB536" i="7"/>
  <c r="BA536" i="7"/>
  <c r="AS536" i="7"/>
  <c r="AR536" i="7"/>
  <c r="AQ536" i="7"/>
  <c r="AN536" i="7"/>
  <c r="AM536" i="7"/>
  <c r="AL536" i="7"/>
  <c r="AD536" i="7"/>
  <c r="AC536" i="7"/>
  <c r="AB536" i="7"/>
  <c r="T536" i="7"/>
  <c r="S536" i="7"/>
  <c r="R536" i="7"/>
  <c r="O536" i="7"/>
  <c r="N536" i="7"/>
  <c r="M536" i="7"/>
  <c r="J536" i="7"/>
  <c r="I536" i="7"/>
  <c r="H536" i="7"/>
  <c r="E536" i="7"/>
  <c r="D536" i="7"/>
  <c r="C536" i="7"/>
  <c r="BM535" i="7"/>
  <c r="BL535" i="7"/>
  <c r="BK535" i="7"/>
  <c r="BH535" i="7"/>
  <c r="BG535" i="7"/>
  <c r="BF535" i="7"/>
  <c r="BC535" i="7"/>
  <c r="BB535" i="7"/>
  <c r="BA535" i="7"/>
  <c r="AX535" i="7"/>
  <c r="AW535" i="7"/>
  <c r="AV535" i="7"/>
  <c r="BM534" i="7"/>
  <c r="BL534" i="7"/>
  <c r="BK534" i="7"/>
  <c r="BF534" i="7"/>
  <c r="AV534" i="7"/>
  <c r="AI534" i="7"/>
  <c r="AH534" i="7"/>
  <c r="AG534" i="7"/>
  <c r="O534" i="7"/>
  <c r="N534" i="7"/>
  <c r="M534" i="7"/>
  <c r="J534" i="7"/>
  <c r="I534" i="7"/>
  <c r="H534" i="7"/>
  <c r="E534" i="7"/>
  <c r="D534" i="7"/>
  <c r="C534" i="7"/>
  <c r="BH533" i="7"/>
  <c r="BG533" i="7"/>
  <c r="BF533" i="7"/>
  <c r="J533" i="7"/>
  <c r="I533" i="7"/>
  <c r="H533" i="7"/>
  <c r="BC532" i="7"/>
  <c r="BB532" i="7"/>
  <c r="BA532" i="7"/>
  <c r="AS532" i="7"/>
  <c r="AR532" i="7"/>
  <c r="AQ532" i="7"/>
  <c r="AI532" i="7"/>
  <c r="AH532" i="7"/>
  <c r="AG532" i="7"/>
  <c r="AB532" i="7"/>
  <c r="S532" i="7"/>
  <c r="O532" i="7"/>
  <c r="N532" i="7"/>
  <c r="M532" i="7"/>
  <c r="J532" i="7"/>
  <c r="I532" i="7"/>
  <c r="H532" i="7"/>
  <c r="BC531" i="7"/>
  <c r="BB531" i="7"/>
  <c r="BA531" i="7"/>
  <c r="J531" i="7"/>
  <c r="I531" i="7"/>
  <c r="H531" i="7"/>
  <c r="BC530" i="7"/>
  <c r="BB530" i="7"/>
  <c r="BA530" i="7"/>
  <c r="AX530" i="7"/>
  <c r="AW530" i="7"/>
  <c r="AV530" i="7"/>
  <c r="AS530" i="7"/>
  <c r="AR530" i="7"/>
  <c r="AQ530" i="7"/>
  <c r="AI530" i="7"/>
  <c r="AH530" i="7"/>
  <c r="AG530" i="7"/>
  <c r="AD530" i="7"/>
  <c r="AC530" i="7"/>
  <c r="AB530" i="7"/>
  <c r="X530" i="7"/>
  <c r="W530" i="7"/>
  <c r="T530" i="7"/>
  <c r="S530" i="7"/>
  <c r="R530" i="7"/>
  <c r="O530" i="7"/>
  <c r="N530" i="7"/>
  <c r="M530" i="7"/>
  <c r="J530" i="7"/>
  <c r="I530" i="7"/>
  <c r="H530" i="7"/>
  <c r="E530" i="7"/>
  <c r="D530" i="7"/>
  <c r="C530" i="7"/>
  <c r="AX529" i="7"/>
  <c r="AW529" i="7"/>
  <c r="AV529" i="7"/>
  <c r="T529" i="7"/>
  <c r="S529" i="7"/>
  <c r="R529" i="7"/>
  <c r="BH528" i="7"/>
  <c r="BG528" i="7"/>
  <c r="BF528" i="7"/>
  <c r="BC528" i="7"/>
  <c r="BB528" i="7"/>
  <c r="BA528" i="7"/>
  <c r="AX528" i="7"/>
  <c r="AW528" i="7"/>
  <c r="AV528" i="7"/>
  <c r="AS528" i="7"/>
  <c r="AR528" i="7"/>
  <c r="AQ528" i="7"/>
  <c r="AN528" i="7"/>
  <c r="AM528" i="7"/>
  <c r="AL528" i="7"/>
  <c r="AD528" i="7"/>
  <c r="AC528" i="7"/>
  <c r="AB528" i="7"/>
  <c r="Y528" i="7"/>
  <c r="X528" i="7"/>
  <c r="W528" i="7"/>
  <c r="T528" i="7"/>
  <c r="S528" i="7"/>
  <c r="R528" i="7"/>
  <c r="O528" i="7"/>
  <c r="J528" i="7"/>
  <c r="I528" i="7"/>
  <c r="H528" i="7"/>
  <c r="E528" i="7"/>
  <c r="D528" i="7"/>
  <c r="C528" i="7"/>
  <c r="BC527" i="7"/>
  <c r="BB527" i="7"/>
  <c r="BA527" i="7"/>
  <c r="AX527" i="7"/>
  <c r="AW527" i="7"/>
  <c r="AV527" i="7"/>
  <c r="AS527" i="7"/>
  <c r="AR527" i="7"/>
  <c r="AQ527" i="7"/>
  <c r="AC527" i="7"/>
  <c r="T527" i="7"/>
  <c r="S527" i="7"/>
  <c r="R527" i="7"/>
  <c r="J527" i="7"/>
  <c r="I527" i="7"/>
  <c r="H527" i="7"/>
  <c r="AX525" i="7"/>
  <c r="AW525" i="7"/>
  <c r="AV525" i="7"/>
  <c r="BB524" i="7"/>
  <c r="AX524" i="7"/>
  <c r="AW524" i="7"/>
  <c r="AV524" i="7"/>
  <c r="O524" i="7"/>
  <c r="N524" i="7"/>
  <c r="J524" i="7"/>
  <c r="I524" i="7"/>
  <c r="H524" i="7"/>
  <c r="BH523" i="7"/>
  <c r="BG523" i="7"/>
  <c r="BF523" i="7"/>
  <c r="BC522" i="7"/>
  <c r="BB522" i="7"/>
  <c r="BA522" i="7"/>
  <c r="AX522" i="7"/>
  <c r="AW522" i="7"/>
  <c r="AV522" i="7"/>
  <c r="AS522" i="7"/>
  <c r="AR522" i="7"/>
  <c r="AQ522" i="7"/>
  <c r="AD522" i="7"/>
  <c r="AC522" i="7"/>
  <c r="AB522" i="7"/>
  <c r="Y522" i="7"/>
  <c r="X522" i="7"/>
  <c r="W522" i="7"/>
  <c r="T522" i="7"/>
  <c r="S522" i="7"/>
  <c r="R522" i="7"/>
  <c r="O522" i="7"/>
  <c r="N522" i="7"/>
  <c r="M522" i="7"/>
  <c r="J522" i="7"/>
  <c r="I522" i="7"/>
  <c r="H522" i="7"/>
  <c r="BC521" i="7"/>
  <c r="BB521" i="7"/>
  <c r="BA521" i="7"/>
  <c r="AS521" i="7"/>
  <c r="AR521" i="7"/>
  <c r="AQ521" i="7"/>
  <c r="AD521" i="7"/>
  <c r="AC521" i="7"/>
  <c r="Y521" i="7"/>
  <c r="X521" i="7"/>
  <c r="W521" i="7"/>
  <c r="T521" i="7"/>
  <c r="S521" i="7"/>
  <c r="O521" i="7"/>
  <c r="N521" i="7"/>
  <c r="M521" i="7"/>
  <c r="J521" i="7"/>
  <c r="I521" i="7"/>
  <c r="H521" i="7"/>
  <c r="E521" i="7"/>
  <c r="D521" i="7"/>
  <c r="C521" i="7"/>
  <c r="BC520" i="7"/>
  <c r="BB520" i="7"/>
  <c r="BA520" i="7"/>
  <c r="AS520" i="7"/>
  <c r="AR520" i="7"/>
  <c r="AQ520" i="7"/>
  <c r="AD520" i="7"/>
  <c r="AB520" i="7"/>
  <c r="T520" i="7"/>
  <c r="S520" i="7"/>
  <c r="M520" i="7"/>
  <c r="J520" i="7"/>
  <c r="I520" i="7"/>
  <c r="H520" i="7"/>
  <c r="BK519" i="7"/>
  <c r="AX519" i="7"/>
  <c r="AW519" i="7"/>
  <c r="AV519" i="7"/>
  <c r="BM517" i="7"/>
  <c r="BL517" i="7"/>
  <c r="BK517" i="7"/>
  <c r="BC517" i="7"/>
  <c r="BB517" i="7"/>
  <c r="BA517" i="7"/>
  <c r="AX517" i="7"/>
  <c r="AW517" i="7"/>
  <c r="AV517" i="7"/>
  <c r="AB517" i="7"/>
  <c r="S517" i="7"/>
  <c r="O517" i="7"/>
  <c r="M517" i="7"/>
  <c r="J517" i="7"/>
  <c r="I517" i="7"/>
  <c r="H517" i="7"/>
  <c r="E517" i="7"/>
  <c r="D517" i="7"/>
  <c r="C517" i="7"/>
  <c r="BC516" i="7"/>
  <c r="BB516" i="7"/>
  <c r="BA516" i="7"/>
  <c r="AX516" i="7"/>
  <c r="AW516" i="7"/>
  <c r="AV516" i="7"/>
  <c r="AS516" i="7"/>
  <c r="AR516" i="7"/>
  <c r="AQ516" i="7"/>
  <c r="AN516" i="7"/>
  <c r="AM516" i="7"/>
  <c r="AL516" i="7"/>
  <c r="AD516" i="7"/>
  <c r="AC516" i="7"/>
  <c r="AB516" i="7"/>
  <c r="Y516" i="7"/>
  <c r="X516" i="7"/>
  <c r="W516" i="7"/>
  <c r="T516" i="7"/>
  <c r="S516" i="7"/>
  <c r="O516" i="7"/>
  <c r="N516" i="7"/>
  <c r="M516" i="7"/>
  <c r="J516" i="7"/>
  <c r="I516" i="7"/>
  <c r="H516" i="7"/>
  <c r="BB515" i="7"/>
  <c r="AS515" i="7"/>
  <c r="AR515" i="7"/>
  <c r="AQ515" i="7"/>
  <c r="AN515" i="7"/>
  <c r="AL515" i="7"/>
  <c r="X515" i="7"/>
  <c r="T515" i="7"/>
  <c r="R515" i="7"/>
  <c r="O515" i="7"/>
  <c r="N515" i="7"/>
  <c r="M515" i="7"/>
  <c r="J515" i="7"/>
  <c r="I515" i="7"/>
  <c r="H515" i="7"/>
  <c r="BM514" i="7"/>
  <c r="BL514" i="7"/>
  <c r="BK514" i="7"/>
  <c r="BF514" i="7"/>
  <c r="BC514" i="7"/>
  <c r="BB514" i="7"/>
  <c r="AX514" i="7"/>
  <c r="AW514" i="7"/>
  <c r="AV514" i="7"/>
  <c r="BK513" i="7"/>
  <c r="BH513" i="7"/>
  <c r="BG513" i="7"/>
  <c r="BF513" i="7"/>
  <c r="BC513" i="7"/>
  <c r="BB513" i="7"/>
  <c r="BA513" i="7"/>
  <c r="AX513" i="7"/>
  <c r="AW513" i="7"/>
  <c r="AV513" i="7"/>
  <c r="BM512" i="7"/>
  <c r="BL512" i="7"/>
  <c r="BK512" i="7"/>
  <c r="BH512" i="7"/>
  <c r="BG512" i="7"/>
  <c r="BF512" i="7"/>
  <c r="BC512" i="7"/>
  <c r="BB512" i="7"/>
  <c r="AX512" i="7"/>
  <c r="AW512" i="7"/>
  <c r="AV512" i="7"/>
  <c r="AI512" i="7"/>
  <c r="AH512" i="7"/>
  <c r="AG512" i="7"/>
  <c r="S512" i="7"/>
  <c r="O512" i="7"/>
  <c r="N512" i="7"/>
  <c r="M512" i="7"/>
  <c r="J512" i="7"/>
  <c r="I512" i="7"/>
  <c r="H512" i="7"/>
  <c r="E512" i="7"/>
  <c r="D512" i="7"/>
  <c r="C512" i="7"/>
  <c r="BC511" i="7"/>
  <c r="BB511" i="7"/>
  <c r="BA511" i="7"/>
  <c r="AX511" i="7"/>
  <c r="AW511" i="7"/>
  <c r="AV511" i="7"/>
  <c r="AS511" i="7"/>
  <c r="AR511" i="7"/>
  <c r="AQ511" i="7"/>
  <c r="AD511" i="7"/>
  <c r="AC511" i="7"/>
  <c r="AB511" i="7"/>
  <c r="T511" i="7"/>
  <c r="S511" i="7"/>
  <c r="O511" i="7"/>
  <c r="N511" i="7"/>
  <c r="M511" i="7"/>
  <c r="BM510" i="7"/>
  <c r="BL510" i="7"/>
  <c r="BK510" i="7"/>
  <c r="AX510" i="7"/>
  <c r="AW510" i="7"/>
  <c r="AV510" i="7"/>
  <c r="X510" i="7"/>
  <c r="O510" i="7"/>
  <c r="M510" i="7"/>
  <c r="J510" i="7"/>
  <c r="I510" i="7"/>
  <c r="H510" i="7"/>
  <c r="AX509" i="7"/>
  <c r="AW509" i="7"/>
  <c r="AV509" i="7"/>
  <c r="BM508" i="7"/>
  <c r="BL508" i="7"/>
  <c r="BK508" i="7"/>
  <c r="BH508" i="7"/>
  <c r="BG508" i="7"/>
  <c r="BF508" i="7"/>
  <c r="AX508" i="7"/>
  <c r="AW508" i="7"/>
  <c r="AV508" i="7"/>
  <c r="AS508" i="7"/>
  <c r="AR508" i="7"/>
  <c r="AQ508" i="7"/>
  <c r="AG508" i="7"/>
  <c r="AD508" i="7"/>
  <c r="AB508" i="7"/>
  <c r="S508" i="7"/>
  <c r="R508" i="7"/>
  <c r="O508" i="7"/>
  <c r="N508" i="7"/>
  <c r="M508" i="7"/>
  <c r="J508" i="7"/>
  <c r="I508" i="7"/>
  <c r="H508" i="7"/>
  <c r="E508" i="7"/>
  <c r="D508" i="7"/>
  <c r="C508" i="7"/>
  <c r="BC507" i="7"/>
  <c r="AX507" i="7"/>
  <c r="AW507" i="7"/>
  <c r="AV507" i="7"/>
  <c r="BH506" i="7"/>
  <c r="BG506" i="7"/>
  <c r="BF506" i="7"/>
  <c r="BC506" i="7"/>
  <c r="BB506" i="7"/>
  <c r="BA506" i="7"/>
  <c r="AX506" i="7"/>
  <c r="AW506" i="7"/>
  <c r="AV506" i="7"/>
  <c r="AS506" i="7"/>
  <c r="AR506" i="7"/>
  <c r="AQ506" i="7"/>
  <c r="AI506" i="7"/>
  <c r="AH506" i="7"/>
  <c r="AG506" i="7"/>
  <c r="AD506" i="7"/>
  <c r="AC506" i="7"/>
  <c r="AB506" i="7"/>
  <c r="W506" i="7"/>
  <c r="T506" i="7"/>
  <c r="S506" i="7"/>
  <c r="R506" i="7"/>
  <c r="O506" i="7"/>
  <c r="N506" i="7"/>
  <c r="M506" i="7"/>
  <c r="J506" i="7"/>
  <c r="I506" i="7"/>
  <c r="H506" i="7"/>
  <c r="E506" i="7"/>
  <c r="D506" i="7"/>
  <c r="C506" i="7"/>
  <c r="AX505" i="7"/>
  <c r="AW505" i="7"/>
  <c r="AV505" i="7"/>
  <c r="J505" i="7"/>
  <c r="I505" i="7"/>
  <c r="H505" i="7"/>
  <c r="BC502" i="7"/>
  <c r="BB502" i="7"/>
  <c r="BA502" i="7"/>
  <c r="AX502" i="7"/>
  <c r="AW502" i="7"/>
  <c r="AV502" i="7"/>
  <c r="AS502" i="7"/>
  <c r="AR502" i="7"/>
  <c r="AQ502" i="7"/>
  <c r="AN502" i="7"/>
  <c r="AM502" i="7"/>
  <c r="AL502" i="7"/>
  <c r="AI502" i="7"/>
  <c r="AH502" i="7"/>
  <c r="AG502" i="7"/>
  <c r="AD502" i="7"/>
  <c r="AC502" i="7"/>
  <c r="AB502" i="7"/>
  <c r="Y502" i="7"/>
  <c r="X502" i="7"/>
  <c r="W502" i="7"/>
  <c r="T502" i="7"/>
  <c r="S502" i="7"/>
  <c r="R502" i="7"/>
  <c r="O502" i="7"/>
  <c r="N502" i="7"/>
  <c r="M502" i="7"/>
  <c r="J502" i="7"/>
  <c r="I502" i="7"/>
  <c r="H502" i="7"/>
  <c r="E502" i="7"/>
  <c r="D502" i="7"/>
  <c r="C502" i="7"/>
  <c r="BC501" i="7"/>
  <c r="BB501" i="7"/>
  <c r="BA501" i="7"/>
  <c r="AX501" i="7"/>
  <c r="AW501" i="7"/>
  <c r="AV501" i="7"/>
  <c r="AS501" i="7"/>
  <c r="AR501" i="7"/>
  <c r="AQ501" i="7"/>
  <c r="AI501" i="7"/>
  <c r="AH501" i="7"/>
  <c r="AG501" i="7"/>
  <c r="AB501" i="7"/>
  <c r="O501" i="7"/>
  <c r="N501" i="7"/>
  <c r="J501" i="7"/>
  <c r="I501" i="7"/>
  <c r="H501" i="7"/>
  <c r="E501" i="7"/>
  <c r="D501" i="7"/>
  <c r="C501" i="7"/>
  <c r="BM500" i="7"/>
  <c r="BL500" i="7"/>
  <c r="BK500" i="7"/>
  <c r="BH500" i="7"/>
  <c r="BG500" i="7"/>
  <c r="BF500" i="7"/>
  <c r="BC500" i="7"/>
  <c r="BB500" i="7"/>
  <c r="BA500" i="7"/>
  <c r="AX500" i="7"/>
  <c r="AW500" i="7"/>
  <c r="AV500" i="7"/>
  <c r="BH498" i="7"/>
  <c r="BG498" i="7"/>
  <c r="BF498" i="7"/>
  <c r="BB498" i="7"/>
  <c r="AX498" i="7"/>
  <c r="AW498" i="7"/>
  <c r="AV498" i="7"/>
  <c r="AS498" i="7"/>
  <c r="AR498" i="7"/>
  <c r="AQ498" i="7"/>
  <c r="AI498" i="7"/>
  <c r="AH498" i="7"/>
  <c r="AG498" i="7"/>
  <c r="AD498" i="7"/>
  <c r="AC498" i="7"/>
  <c r="AB498" i="7"/>
  <c r="S498" i="7"/>
  <c r="R498" i="7"/>
  <c r="O498" i="7"/>
  <c r="N498" i="7"/>
  <c r="M498" i="7"/>
  <c r="J498" i="7"/>
  <c r="I498" i="7"/>
  <c r="H498" i="7"/>
  <c r="E498" i="7"/>
  <c r="D498" i="7"/>
  <c r="C498" i="7"/>
  <c r="BM497" i="7"/>
  <c r="BL497" i="7"/>
  <c r="BK497" i="7"/>
  <c r="BH497" i="7"/>
  <c r="BG497" i="7"/>
  <c r="BF497" i="7"/>
  <c r="BC497" i="7"/>
  <c r="BB497" i="7"/>
  <c r="BA497" i="7"/>
  <c r="AX497" i="7"/>
  <c r="AW497" i="7"/>
  <c r="AV497" i="7"/>
  <c r="AS497" i="7"/>
  <c r="AR497" i="7"/>
  <c r="AQ497" i="7"/>
  <c r="AN497" i="7"/>
  <c r="AM497" i="7"/>
  <c r="AL497" i="7"/>
  <c r="AI497" i="7"/>
  <c r="AH497" i="7"/>
  <c r="AG497" i="7"/>
  <c r="AD497" i="7"/>
  <c r="AC497" i="7"/>
  <c r="AB497" i="7"/>
  <c r="Y497" i="7"/>
  <c r="X497" i="7"/>
  <c r="W497" i="7"/>
  <c r="T497" i="7"/>
  <c r="S497" i="7"/>
  <c r="R497" i="7"/>
  <c r="O497" i="7"/>
  <c r="N497" i="7"/>
  <c r="M497" i="7"/>
  <c r="J497" i="7"/>
  <c r="I497" i="7"/>
  <c r="H497" i="7"/>
  <c r="E497" i="7"/>
  <c r="D497" i="7"/>
  <c r="C497" i="7"/>
  <c r="J496" i="7"/>
  <c r="I496" i="7"/>
  <c r="H496" i="7"/>
  <c r="BK495" i="7"/>
  <c r="BH495" i="7"/>
  <c r="BG495" i="7"/>
  <c r="BF495" i="7"/>
  <c r="BC494" i="7"/>
  <c r="BB494" i="7"/>
  <c r="BA494" i="7"/>
  <c r="AS494" i="7"/>
  <c r="AR494" i="7"/>
  <c r="AQ494" i="7"/>
  <c r="T494" i="7"/>
  <c r="S494" i="7"/>
  <c r="R494" i="7"/>
  <c r="J494" i="7"/>
  <c r="I494" i="7"/>
  <c r="H494" i="7"/>
  <c r="BK493" i="7"/>
  <c r="BH493" i="7"/>
  <c r="BG493" i="7"/>
  <c r="BF493" i="7"/>
  <c r="BH492" i="7"/>
  <c r="BG492" i="7"/>
  <c r="BF492" i="7"/>
  <c r="BC492" i="7"/>
  <c r="BB492" i="7"/>
  <c r="BA492" i="7"/>
  <c r="AX492" i="7"/>
  <c r="AW492" i="7"/>
  <c r="AV492" i="7"/>
  <c r="AS492" i="7"/>
  <c r="AR492" i="7"/>
  <c r="AQ492" i="7"/>
  <c r="AL492" i="7"/>
  <c r="AI492" i="7"/>
  <c r="AH492" i="7"/>
  <c r="AG492" i="7"/>
  <c r="AD492" i="7"/>
  <c r="AC492" i="7"/>
  <c r="AB492" i="7"/>
  <c r="Y492" i="7"/>
  <c r="X492" i="7"/>
  <c r="W492" i="7"/>
  <c r="T492" i="7"/>
  <c r="S492" i="7"/>
  <c r="R492" i="7"/>
  <c r="O492" i="7"/>
  <c r="N492" i="7"/>
  <c r="M492" i="7"/>
  <c r="J492" i="7"/>
  <c r="I492" i="7"/>
  <c r="H492" i="7"/>
  <c r="E492" i="7"/>
  <c r="D492" i="7"/>
  <c r="C492" i="7"/>
  <c r="BM491" i="7"/>
  <c r="BL491" i="7"/>
  <c r="BH491" i="7"/>
  <c r="BG491" i="7"/>
  <c r="BF491" i="7"/>
  <c r="BM490" i="7"/>
  <c r="BL490" i="7"/>
  <c r="BK490" i="7"/>
  <c r="BH490" i="7"/>
  <c r="BG490" i="7"/>
  <c r="BF490" i="7"/>
  <c r="AX490" i="7"/>
  <c r="AW490" i="7"/>
  <c r="AV490" i="7"/>
  <c r="AS490" i="7"/>
  <c r="AR490" i="7"/>
  <c r="BH489" i="7"/>
  <c r="BG489" i="7"/>
  <c r="BF489" i="7"/>
  <c r="BC489" i="7"/>
  <c r="BB489" i="7"/>
  <c r="BA489" i="7"/>
  <c r="AW489" i="7"/>
  <c r="AV489" i="7"/>
  <c r="AS489" i="7"/>
  <c r="AR489" i="7"/>
  <c r="AQ489" i="7"/>
  <c r="AN489" i="7"/>
  <c r="AM489" i="7"/>
  <c r="AL489" i="7"/>
  <c r="AD489" i="7"/>
  <c r="AC489" i="7"/>
  <c r="AB489" i="7"/>
  <c r="Y489" i="7"/>
  <c r="X489" i="7"/>
  <c r="W489" i="7"/>
  <c r="T489" i="7"/>
  <c r="S489" i="7"/>
  <c r="R489" i="7"/>
  <c r="O489" i="7"/>
  <c r="N489" i="7"/>
  <c r="M489" i="7"/>
  <c r="J489" i="7"/>
  <c r="I489" i="7"/>
  <c r="H489" i="7"/>
  <c r="E489" i="7"/>
  <c r="D489" i="7"/>
  <c r="C489" i="7"/>
  <c r="AI488" i="7"/>
  <c r="AH488" i="7"/>
  <c r="AG488" i="7"/>
  <c r="Y488" i="7"/>
  <c r="X488" i="7"/>
  <c r="W488" i="7"/>
  <c r="O488" i="7"/>
  <c r="N488" i="7"/>
  <c r="M488" i="7"/>
  <c r="J488" i="7"/>
  <c r="I488" i="7"/>
  <c r="H488" i="7"/>
  <c r="BC487" i="7"/>
  <c r="BB487" i="7"/>
  <c r="BA487" i="7"/>
  <c r="AX487" i="7"/>
  <c r="AW487" i="7"/>
  <c r="AV487" i="7"/>
  <c r="AS487" i="7"/>
  <c r="AR487" i="7"/>
  <c r="AQ487" i="7"/>
  <c r="Y487" i="7"/>
  <c r="X487" i="7"/>
  <c r="W487" i="7"/>
  <c r="T487" i="7"/>
  <c r="S487" i="7"/>
  <c r="R487" i="7"/>
  <c r="N487" i="7"/>
  <c r="M487" i="7"/>
  <c r="J487" i="7"/>
  <c r="I487" i="7"/>
  <c r="H487" i="7"/>
  <c r="E487" i="7"/>
  <c r="D487" i="7"/>
  <c r="C487" i="7"/>
  <c r="BL486" i="7"/>
  <c r="BK486" i="7"/>
  <c r="BC486" i="7"/>
  <c r="BB486" i="7"/>
  <c r="BA486" i="7"/>
  <c r="AX486" i="7"/>
  <c r="AW486" i="7"/>
  <c r="AV486" i="7"/>
  <c r="AH486" i="7"/>
  <c r="AC486" i="7"/>
  <c r="AB486" i="7"/>
  <c r="T486" i="7"/>
  <c r="S486" i="7"/>
  <c r="O486" i="7"/>
  <c r="N486" i="7"/>
  <c r="M486" i="7"/>
  <c r="J486" i="7"/>
  <c r="I486" i="7"/>
  <c r="H486" i="7"/>
  <c r="E486" i="7"/>
  <c r="D486" i="7"/>
  <c r="C486" i="7"/>
  <c r="BC485" i="7"/>
  <c r="BB485" i="7"/>
  <c r="BA485" i="7"/>
  <c r="AX485" i="7"/>
  <c r="AW485" i="7"/>
  <c r="AV485" i="7"/>
  <c r="AS485" i="7"/>
  <c r="AR485" i="7"/>
  <c r="AQ485" i="7"/>
  <c r="AN485" i="7"/>
  <c r="AM485" i="7"/>
  <c r="AL485" i="7"/>
  <c r="AD485" i="7"/>
  <c r="AC485" i="7"/>
  <c r="AB485" i="7"/>
  <c r="Y485" i="7"/>
  <c r="X485" i="7"/>
  <c r="W485" i="7"/>
  <c r="T485" i="7"/>
  <c r="S485" i="7"/>
  <c r="R485" i="7"/>
  <c r="O485" i="7"/>
  <c r="N485" i="7"/>
  <c r="M485" i="7"/>
  <c r="J485" i="7"/>
  <c r="I485" i="7"/>
  <c r="H485" i="7"/>
  <c r="E485" i="7"/>
  <c r="D485" i="7"/>
  <c r="C485" i="7"/>
  <c r="BC484" i="7"/>
  <c r="BB484" i="7"/>
  <c r="BA484" i="7"/>
  <c r="AX484" i="7"/>
  <c r="AW484" i="7"/>
  <c r="AV484" i="7"/>
  <c r="AS484" i="7"/>
  <c r="AR484" i="7"/>
  <c r="AQ484" i="7"/>
  <c r="O484" i="7"/>
  <c r="N484" i="7"/>
  <c r="M484" i="7"/>
  <c r="J484" i="7"/>
  <c r="I484" i="7"/>
  <c r="H484" i="7"/>
  <c r="E484" i="7"/>
  <c r="D484" i="7"/>
  <c r="C484" i="7"/>
  <c r="BM482" i="7"/>
  <c r="BL482" i="7"/>
  <c r="BK482" i="7"/>
  <c r="AX482" i="7"/>
  <c r="AW482" i="7"/>
  <c r="AV482" i="7"/>
  <c r="BC481" i="7"/>
  <c r="BB481" i="7"/>
  <c r="BA481" i="7"/>
  <c r="AS481" i="7"/>
  <c r="AR481" i="7"/>
  <c r="AQ481" i="7"/>
  <c r="J481" i="7"/>
  <c r="I481" i="7"/>
  <c r="H481" i="7"/>
  <c r="BK480" i="7"/>
  <c r="BC480" i="7"/>
  <c r="BB480" i="7"/>
  <c r="BA480" i="7"/>
  <c r="AW480" i="7"/>
  <c r="AV480" i="7"/>
  <c r="BM479" i="7"/>
  <c r="BL479" i="7"/>
  <c r="BK479" i="7"/>
  <c r="AX479" i="7"/>
  <c r="AW479" i="7"/>
  <c r="AV479" i="7"/>
  <c r="BC478" i="7"/>
  <c r="BB478" i="7"/>
  <c r="BA478" i="7"/>
  <c r="AX478" i="7"/>
  <c r="AS478" i="7"/>
  <c r="AR478" i="7"/>
  <c r="AQ478" i="7"/>
  <c r="AD478" i="7"/>
  <c r="AC478" i="7"/>
  <c r="AB478" i="7"/>
  <c r="Y478" i="7"/>
  <c r="X478" i="7"/>
  <c r="W478" i="7"/>
  <c r="T478" i="7"/>
  <c r="S478" i="7"/>
  <c r="R478" i="7"/>
  <c r="O478" i="7"/>
  <c r="N478" i="7"/>
  <c r="M478" i="7"/>
  <c r="J478" i="7"/>
  <c r="I478" i="7"/>
  <c r="H478" i="7"/>
  <c r="BC477" i="7"/>
  <c r="BB477" i="7"/>
  <c r="BA477" i="7"/>
  <c r="AX477" i="7"/>
  <c r="AW477" i="7"/>
  <c r="AV477" i="7"/>
  <c r="AS477" i="7"/>
  <c r="AR477" i="7"/>
  <c r="AQ477" i="7"/>
  <c r="AD477" i="7"/>
  <c r="AB477" i="7"/>
  <c r="Y477" i="7"/>
  <c r="X477" i="7"/>
  <c r="W477" i="7"/>
  <c r="S477" i="7"/>
  <c r="R477" i="7"/>
  <c r="O477" i="7"/>
  <c r="N477" i="7"/>
  <c r="M477" i="7"/>
  <c r="J477" i="7"/>
  <c r="I477" i="7"/>
  <c r="H477" i="7"/>
  <c r="E477" i="7"/>
  <c r="D477" i="7"/>
  <c r="C477" i="7"/>
  <c r="BM476" i="7"/>
  <c r="BL476" i="7"/>
  <c r="BK476" i="7"/>
  <c r="BH476" i="7"/>
  <c r="BG476" i="7"/>
  <c r="BF476" i="7"/>
  <c r="BC476" i="7"/>
  <c r="BB476" i="7"/>
  <c r="BA476" i="7"/>
  <c r="AX476" i="7"/>
  <c r="AW476" i="7"/>
  <c r="AV476" i="7"/>
  <c r="AS476" i="7"/>
  <c r="AR476" i="7"/>
  <c r="AQ476" i="7"/>
  <c r="AI476" i="7"/>
  <c r="AH476" i="7"/>
  <c r="AG476" i="7"/>
  <c r="AD476" i="7"/>
  <c r="AC476" i="7"/>
  <c r="AB476" i="7"/>
  <c r="Y476" i="7"/>
  <c r="X476" i="7"/>
  <c r="W476" i="7"/>
  <c r="T476" i="7"/>
  <c r="S476" i="7"/>
  <c r="R476" i="7"/>
  <c r="O476" i="7"/>
  <c r="N476" i="7"/>
  <c r="M476" i="7"/>
  <c r="J476" i="7"/>
  <c r="I476" i="7"/>
  <c r="H476" i="7"/>
  <c r="BM474" i="7"/>
  <c r="BL474" i="7"/>
  <c r="BK474" i="7"/>
  <c r="BH474" i="7"/>
  <c r="BG474" i="7"/>
  <c r="BF474" i="7"/>
  <c r="BC474" i="7"/>
  <c r="BB474" i="7"/>
  <c r="BA474" i="7"/>
  <c r="AX474" i="7"/>
  <c r="AW474" i="7"/>
  <c r="AV474" i="7"/>
  <c r="BC473" i="7"/>
  <c r="BB473" i="7"/>
  <c r="BA473" i="7"/>
  <c r="AS473" i="7"/>
  <c r="AR473" i="7"/>
  <c r="AQ473" i="7"/>
  <c r="AI473" i="7"/>
  <c r="AH473" i="7"/>
  <c r="AG473" i="7"/>
  <c r="AD473" i="7"/>
  <c r="AC473" i="7"/>
  <c r="AB473" i="7"/>
  <c r="Y473" i="7"/>
  <c r="X473" i="7"/>
  <c r="W473" i="7"/>
  <c r="T473" i="7"/>
  <c r="S473" i="7"/>
  <c r="R473" i="7"/>
  <c r="O473" i="7"/>
  <c r="N473" i="7"/>
  <c r="M473" i="7"/>
  <c r="J473" i="7"/>
  <c r="I473" i="7"/>
  <c r="H473" i="7"/>
  <c r="E473" i="7"/>
  <c r="D473" i="7"/>
  <c r="C473" i="7"/>
  <c r="BH472" i="7"/>
  <c r="BG472" i="7"/>
  <c r="BF472" i="7"/>
  <c r="BC472" i="7"/>
  <c r="BB472" i="7"/>
  <c r="BA472" i="7"/>
  <c r="AX472" i="7"/>
  <c r="AW472" i="7"/>
  <c r="AV472" i="7"/>
  <c r="AS472" i="7"/>
  <c r="AR472" i="7"/>
  <c r="AQ472" i="7"/>
  <c r="AD472" i="7"/>
  <c r="AC472" i="7"/>
  <c r="AB472" i="7"/>
  <c r="Y472" i="7"/>
  <c r="X472" i="7"/>
  <c r="W472" i="7"/>
  <c r="R472" i="7"/>
  <c r="O472" i="7"/>
  <c r="N472" i="7"/>
  <c r="M472" i="7"/>
  <c r="J472" i="7"/>
  <c r="I472" i="7"/>
  <c r="H472" i="7"/>
  <c r="E472" i="7"/>
  <c r="D472" i="7"/>
  <c r="C472" i="7"/>
  <c r="J471" i="7"/>
  <c r="I471" i="7"/>
  <c r="H471" i="7"/>
  <c r="BM470" i="7"/>
  <c r="BL470" i="7"/>
  <c r="BK470" i="7"/>
  <c r="BH470" i="7"/>
  <c r="BG470" i="7"/>
  <c r="BF470" i="7"/>
  <c r="BC470" i="7"/>
  <c r="BB470" i="7"/>
  <c r="BA470" i="7"/>
  <c r="AX470" i="7"/>
  <c r="BM469" i="7"/>
  <c r="BL469" i="7"/>
  <c r="BK469" i="7"/>
  <c r="AR469" i="7"/>
  <c r="J469" i="7"/>
  <c r="I469" i="7"/>
  <c r="H469" i="7"/>
  <c r="BC467" i="7"/>
  <c r="BB467" i="7"/>
  <c r="BA467" i="7"/>
  <c r="J467" i="7"/>
  <c r="I467" i="7"/>
  <c r="H467" i="7"/>
  <c r="BM466" i="7"/>
  <c r="BL466" i="7"/>
  <c r="BK466" i="7"/>
  <c r="BF466" i="7"/>
  <c r="BC466" i="7"/>
  <c r="BB466" i="7"/>
  <c r="BA466" i="7"/>
  <c r="BK465" i="7"/>
  <c r="BH465" i="7"/>
  <c r="BG465" i="7"/>
  <c r="BF465" i="7"/>
  <c r="BC465" i="7"/>
  <c r="BB465" i="7"/>
  <c r="BA465" i="7"/>
  <c r="AX465" i="7"/>
  <c r="AW465" i="7"/>
  <c r="AV465" i="7"/>
  <c r="AL465" i="7"/>
  <c r="AI465" i="7"/>
  <c r="AH465" i="7"/>
  <c r="AG465" i="7"/>
  <c r="AD465" i="7"/>
  <c r="AC465" i="7"/>
  <c r="AB465" i="7"/>
  <c r="W465" i="7"/>
  <c r="T465" i="7"/>
  <c r="S465" i="7"/>
  <c r="R465" i="7"/>
  <c r="O465" i="7"/>
  <c r="N465" i="7"/>
  <c r="M465" i="7"/>
  <c r="J465" i="7"/>
  <c r="I465" i="7"/>
  <c r="H465" i="7"/>
  <c r="E465" i="7"/>
  <c r="D465" i="7"/>
  <c r="C465" i="7"/>
  <c r="BM464" i="7"/>
  <c r="BL464" i="7"/>
  <c r="BK464" i="7"/>
  <c r="AX464" i="7"/>
  <c r="AW464" i="7"/>
  <c r="AV464" i="7"/>
  <c r="BM463" i="7"/>
  <c r="BL463" i="7"/>
  <c r="BK463" i="7"/>
  <c r="BH463" i="7"/>
  <c r="BG463" i="7"/>
  <c r="J462" i="7"/>
  <c r="I462" i="7"/>
  <c r="H462" i="7"/>
  <c r="BM461" i="7"/>
  <c r="BC461" i="7"/>
  <c r="BB461" i="7"/>
  <c r="BA461" i="7"/>
  <c r="AI461" i="7"/>
  <c r="AH461" i="7"/>
  <c r="AG461" i="7"/>
  <c r="AD461" i="7"/>
  <c r="AC461" i="7"/>
  <c r="AB461" i="7"/>
  <c r="Y461" i="7"/>
  <c r="X461" i="7"/>
  <c r="W461" i="7"/>
  <c r="J461" i="7"/>
  <c r="I461" i="7"/>
  <c r="H461" i="7"/>
  <c r="E461" i="7"/>
  <c r="D461" i="7"/>
  <c r="C461" i="7"/>
  <c r="BC460" i="7"/>
  <c r="BB460" i="7"/>
  <c r="BA460" i="7"/>
  <c r="AI459" i="7"/>
  <c r="AH459" i="7"/>
  <c r="AG459" i="7"/>
  <c r="M459" i="7"/>
  <c r="J459" i="7"/>
  <c r="I459" i="7"/>
  <c r="H459" i="7"/>
  <c r="E459" i="7"/>
  <c r="D459" i="7"/>
  <c r="C459" i="7"/>
  <c r="AX458" i="7"/>
  <c r="AW458" i="7"/>
  <c r="AV458" i="7"/>
  <c r="J458" i="7"/>
  <c r="I458" i="7"/>
  <c r="H458" i="7"/>
  <c r="BM457" i="7"/>
  <c r="BL457" i="7"/>
  <c r="BK457" i="7"/>
  <c r="BC457" i="7"/>
  <c r="BB457" i="7"/>
  <c r="BM452" i="7"/>
  <c r="BL452" i="7"/>
  <c r="BK452" i="7"/>
  <c r="BF452" i="7"/>
  <c r="AX452" i="7"/>
  <c r="AW452" i="7"/>
  <c r="AV452" i="7"/>
  <c r="BM449" i="7"/>
  <c r="BL449" i="7"/>
  <c r="BK449" i="7"/>
  <c r="BH449" i="7"/>
  <c r="BG449" i="7"/>
  <c r="BF449" i="7"/>
  <c r="AX449" i="7"/>
  <c r="AW449" i="7"/>
  <c r="AV449" i="7"/>
  <c r="BM447" i="7"/>
  <c r="BL447" i="7"/>
  <c r="BK447" i="7"/>
  <c r="BC447" i="7"/>
  <c r="BB447" i="7"/>
  <c r="BA447" i="7"/>
  <c r="AX447" i="7"/>
  <c r="AW447" i="7"/>
  <c r="AV447" i="7"/>
  <c r="AS447" i="7"/>
  <c r="AR447" i="7"/>
  <c r="AQ447" i="7"/>
  <c r="BM444" i="7"/>
  <c r="BL444" i="7"/>
  <c r="BK444" i="7"/>
  <c r="BH444" i="7"/>
  <c r="BG444" i="7"/>
  <c r="BF444" i="7"/>
  <c r="AV444" i="7"/>
  <c r="BM442" i="7"/>
  <c r="BL442" i="7"/>
  <c r="BK442" i="7"/>
  <c r="BH442" i="7"/>
  <c r="BG442" i="7"/>
  <c r="BF442" i="7"/>
  <c r="BC442" i="7"/>
  <c r="BB442" i="7"/>
  <c r="BA442" i="7"/>
  <c r="AX442" i="7"/>
  <c r="AW442" i="7"/>
  <c r="AV442" i="7"/>
  <c r="BM440" i="7"/>
  <c r="BL440" i="7"/>
  <c r="BK440" i="7"/>
  <c r="BH440" i="7"/>
  <c r="BG440" i="7"/>
  <c r="BF440" i="7"/>
  <c r="BM439" i="7"/>
  <c r="BL439" i="7"/>
  <c r="BK439" i="7"/>
  <c r="BA439" i="7"/>
  <c r="AX439" i="7"/>
  <c r="AW439" i="7"/>
  <c r="AV439" i="7"/>
  <c r="BA437" i="7"/>
  <c r="BH436" i="7"/>
  <c r="BG436" i="7"/>
  <c r="BF436" i="7"/>
  <c r="BM432" i="7"/>
  <c r="BL432" i="7"/>
  <c r="BH432" i="7"/>
  <c r="BG432" i="7"/>
  <c r="BF432" i="7"/>
  <c r="AX432" i="7"/>
  <c r="AW432" i="7"/>
  <c r="AV432" i="7"/>
  <c r="AS432" i="7"/>
  <c r="AR432" i="7"/>
  <c r="BM431" i="7"/>
  <c r="BL431" i="7"/>
  <c r="BK431" i="7"/>
  <c r="BH431" i="7"/>
  <c r="BG431" i="7"/>
  <c r="BF431" i="7"/>
  <c r="BM430" i="7"/>
  <c r="BL430" i="7"/>
  <c r="BK430" i="7"/>
  <c r="BH430" i="7"/>
  <c r="BG430" i="7"/>
  <c r="BF430" i="7"/>
  <c r="AX430" i="7"/>
  <c r="AW430" i="7"/>
  <c r="AV430" i="7"/>
  <c r="AV427" i="7"/>
  <c r="BM424" i="7"/>
  <c r="BL424" i="7"/>
  <c r="BA424" i="7"/>
  <c r="AV424" i="7"/>
  <c r="BM418" i="7"/>
  <c r="BL418" i="7"/>
  <c r="BK418" i="7"/>
  <c r="BC418" i="7"/>
  <c r="BB418" i="7"/>
  <c r="BH405" i="7"/>
  <c r="BG405" i="7"/>
  <c r="BF405" i="7"/>
  <c r="BM404" i="7"/>
  <c r="BL404" i="7"/>
  <c r="BH404" i="7"/>
  <c r="BG404" i="7"/>
  <c r="BF404" i="7"/>
  <c r="BH401" i="7"/>
  <c r="BG401" i="7"/>
  <c r="AX401" i="7"/>
  <c r="AW401" i="7"/>
  <c r="AV401" i="7"/>
  <c r="BH397" i="7"/>
  <c r="BG397" i="7"/>
  <c r="BF397" i="7"/>
  <c r="BH395" i="7"/>
  <c r="BG395" i="7"/>
  <c r="BF395" i="7"/>
  <c r="BH394" i="7"/>
  <c r="BG394" i="7"/>
  <c r="BF394" i="7"/>
  <c r="BM392" i="7"/>
  <c r="BL392" i="7"/>
  <c r="BK392" i="7"/>
  <c r="BH392" i="7"/>
  <c r="BG392" i="7"/>
  <c r="BF392" i="7"/>
  <c r="BC392" i="7"/>
  <c r="BB392" i="7"/>
  <c r="BA392" i="7"/>
  <c r="AW392" i="7"/>
  <c r="AV392" i="7"/>
  <c r="BH391" i="7"/>
  <c r="BG391" i="7"/>
  <c r="BF391" i="7"/>
  <c r="BH390" i="7"/>
  <c r="BG390" i="7"/>
  <c r="BF390" i="7"/>
  <c r="BH389" i="7"/>
  <c r="BG389" i="7"/>
  <c r="BC388" i="7"/>
  <c r="BB388" i="7"/>
  <c r="BA388" i="7"/>
  <c r="AW388" i="7"/>
  <c r="AV388" i="7"/>
  <c r="BH381" i="7"/>
  <c r="BG381" i="7"/>
  <c r="BH378" i="7"/>
  <c r="BG378" i="7"/>
  <c r="BF378" i="7"/>
  <c r="BC378" i="7"/>
  <c r="BB378" i="7"/>
  <c r="BA378" i="7"/>
  <c r="AW378" i="7"/>
  <c r="AV378" i="7"/>
  <c r="BH375" i="7"/>
  <c r="BG375" i="7"/>
  <c r="BF375" i="7"/>
  <c r="BH371" i="7"/>
  <c r="BG371" i="7"/>
  <c r="BF371" i="7"/>
  <c r="BM369" i="7"/>
  <c r="BL369" i="7"/>
  <c r="BK369" i="7"/>
  <c r="BC369" i="7"/>
  <c r="BB369" i="7"/>
  <c r="BA369" i="7"/>
  <c r="AW369" i="7"/>
  <c r="AV369" i="7"/>
  <c r="BH367" i="7"/>
  <c r="BG367" i="7"/>
  <c r="BM365" i="7"/>
  <c r="BL365" i="7"/>
  <c r="BC365" i="7"/>
  <c r="AW365" i="7"/>
  <c r="AV365" i="7"/>
  <c r="BM364" i="7"/>
  <c r="BL364" i="7"/>
  <c r="BK364" i="7"/>
  <c r="BH364" i="7"/>
  <c r="BG364" i="7"/>
  <c r="BF364" i="7"/>
  <c r="BC364" i="7"/>
  <c r="BB364" i="7"/>
  <c r="BA364" i="7"/>
  <c r="BH363" i="7"/>
  <c r="BG363" i="7"/>
  <c r="BF363" i="7"/>
  <c r="BC363" i="7"/>
  <c r="BM362" i="7"/>
  <c r="BL362" i="7"/>
  <c r="BK362" i="7"/>
  <c r="BH362" i="7"/>
  <c r="BG362" i="7"/>
  <c r="BF362" i="7"/>
  <c r="BM361" i="7"/>
  <c r="BL361" i="7"/>
  <c r="BK361" i="7"/>
  <c r="BH361" i="7"/>
  <c r="BG361" i="7"/>
  <c r="BF361" i="7"/>
  <c r="BC361" i="7"/>
  <c r="BB361" i="7"/>
  <c r="BA361" i="7"/>
  <c r="AD361" i="7"/>
  <c r="BH359" i="7"/>
  <c r="BG359" i="7"/>
  <c r="BF359" i="7"/>
  <c r="BC356" i="7"/>
  <c r="BB356" i="7"/>
  <c r="BA356" i="7"/>
  <c r="BC344" i="7"/>
  <c r="BB344" i="7"/>
  <c r="BM329" i="7"/>
  <c r="BL329" i="7"/>
  <c r="BK329" i="7"/>
  <c r="BC329" i="7"/>
  <c r="BB329" i="7"/>
  <c r="BM323" i="7"/>
  <c r="BL323" i="7"/>
  <c r="BK323" i="7"/>
  <c r="BH323" i="7"/>
  <c r="BG323" i="7"/>
  <c r="BF323" i="7"/>
  <c r="BC323" i="7"/>
  <c r="BB323" i="7"/>
  <c r="BA323" i="7"/>
  <c r="AW323" i="7"/>
  <c r="BM318" i="7"/>
  <c r="BL318" i="7"/>
  <c r="BK318" i="7"/>
  <c r="BH318" i="7"/>
  <c r="BG318" i="7"/>
  <c r="BF318" i="7"/>
  <c r="BM313" i="7"/>
  <c r="BL313" i="7"/>
  <c r="BH313" i="7"/>
  <c r="BG313" i="7"/>
  <c r="BF313" i="7"/>
  <c r="BM308" i="7"/>
  <c r="BL308" i="7"/>
  <c r="BH308" i="7"/>
  <c r="BG308" i="7"/>
  <c r="BF308" i="7"/>
  <c r="BA308" i="7"/>
  <c r="BH307" i="7"/>
  <c r="BG307" i="7"/>
  <c r="BF307" i="7"/>
  <c r="BH305" i="7"/>
  <c r="BG305" i="7"/>
  <c r="BF305" i="7"/>
  <c r="BH302" i="7"/>
  <c r="BG302" i="7"/>
  <c r="BF302" i="7"/>
  <c r="BL301" i="7"/>
  <c r="BK301" i="7"/>
  <c r="BH301" i="7"/>
  <c r="BG301" i="7"/>
  <c r="BF301" i="7"/>
  <c r="BC301" i="7"/>
  <c r="BB301" i="7"/>
  <c r="BA301" i="7"/>
  <c r="AW301" i="7"/>
  <c r="AV301" i="7"/>
  <c r="BH299" i="7"/>
  <c r="BG299" i="7"/>
  <c r="BF299" i="7"/>
  <c r="BH297" i="7"/>
  <c r="BG297" i="7"/>
  <c r="BF297" i="7"/>
  <c r="BC297" i="7"/>
  <c r="BB297" i="7"/>
  <c r="BA297" i="7"/>
  <c r="AW297" i="7"/>
  <c r="AV297" i="7"/>
  <c r="BH296" i="7"/>
  <c r="BG296" i="7"/>
  <c r="BF296" i="7"/>
  <c r="BH293" i="7"/>
  <c r="BG293" i="7"/>
  <c r="BF293" i="7"/>
  <c r="BM292" i="7"/>
  <c r="BL292" i="7"/>
  <c r="BK292" i="7"/>
  <c r="BH292" i="7"/>
  <c r="BG292" i="7"/>
  <c r="BF292" i="7"/>
  <c r="BC292" i="7"/>
  <c r="BB292" i="7"/>
  <c r="BA292" i="7"/>
  <c r="AW292" i="7"/>
  <c r="AV292" i="7"/>
  <c r="AD292" i="7"/>
  <c r="AC292" i="7"/>
  <c r="BH291" i="7"/>
  <c r="BG291" i="7"/>
  <c r="BF291" i="7"/>
  <c r="BM290" i="7"/>
  <c r="BL290" i="7"/>
  <c r="BK290" i="7"/>
  <c r="BH290" i="7"/>
  <c r="BG290" i="7"/>
  <c r="BF290" i="7"/>
  <c r="BC290" i="7"/>
  <c r="BB290" i="7"/>
  <c r="BA290" i="7"/>
  <c r="BM288" i="7"/>
  <c r="BL288" i="7"/>
  <c r="BK288" i="7"/>
  <c r="BH288" i="7"/>
  <c r="BG288" i="7"/>
  <c r="BF288" i="7"/>
  <c r="BC288" i="7"/>
  <c r="BB288" i="7"/>
  <c r="BA288" i="7"/>
  <c r="AW288" i="7"/>
  <c r="AV288" i="7"/>
  <c r="BM287" i="7"/>
  <c r="BL287" i="7"/>
  <c r="BK287" i="7"/>
  <c r="BH287" i="7"/>
  <c r="BG287" i="7"/>
  <c r="BF287" i="7"/>
  <c r="BL286" i="7"/>
  <c r="AV285" i="7"/>
  <c r="BH284" i="7"/>
  <c r="BG284" i="7"/>
  <c r="BH283" i="7"/>
  <c r="BG283" i="7"/>
  <c r="BF283" i="7"/>
  <c r="BM281" i="7"/>
  <c r="BL281" i="7"/>
  <c r="BK281" i="7"/>
  <c r="BH281" i="7"/>
  <c r="BG281" i="7"/>
  <c r="BF281" i="7"/>
  <c r="BC281" i="7"/>
  <c r="BB281" i="7"/>
  <c r="BA281" i="7"/>
  <c r="AW281" i="7"/>
  <c r="AV281" i="7"/>
  <c r="BM280" i="7"/>
  <c r="BL280" i="7"/>
  <c r="BK280" i="7"/>
  <c r="BH280" i="7"/>
  <c r="BG280" i="7"/>
  <c r="BF280" i="7"/>
  <c r="BC280" i="7"/>
  <c r="BB280" i="7"/>
  <c r="BA280" i="7"/>
  <c r="AW280" i="7"/>
  <c r="AV280" i="7"/>
  <c r="BM279" i="7"/>
  <c r="BL279" i="7"/>
  <c r="BK279" i="7"/>
  <c r="BH279" i="7"/>
  <c r="BG279" i="7"/>
  <c r="BF279" i="7"/>
  <c r="BC279" i="7"/>
  <c r="BB279" i="7"/>
  <c r="BA279" i="7"/>
  <c r="AW279" i="7"/>
  <c r="AV279" i="7"/>
  <c r="BM278" i="7"/>
  <c r="BL278" i="7"/>
  <c r="BH278" i="7"/>
  <c r="BG278" i="7"/>
  <c r="BF278" i="7"/>
  <c r="BC278" i="7"/>
  <c r="BB278" i="7"/>
  <c r="BH276" i="7"/>
  <c r="BG276" i="7"/>
  <c r="BF276" i="7"/>
  <c r="BH275" i="7"/>
  <c r="BG275" i="7"/>
  <c r="BF275" i="7"/>
  <c r="BH274" i="7"/>
  <c r="BG274" i="7"/>
  <c r="BF274" i="7"/>
  <c r="BM273" i="7"/>
  <c r="BL273" i="7"/>
  <c r="BK273" i="7"/>
  <c r="BC273" i="7"/>
  <c r="BA273" i="7"/>
  <c r="BH272" i="7"/>
  <c r="BG272" i="7"/>
  <c r="BF272" i="7"/>
  <c r="BM268" i="7"/>
  <c r="BL268" i="7"/>
  <c r="BK268" i="7"/>
  <c r="BH268" i="7"/>
  <c r="BG268" i="7"/>
  <c r="BF268" i="7"/>
  <c r="BM267" i="7"/>
  <c r="BL267" i="7"/>
  <c r="BK267" i="7"/>
  <c r="BH267" i="7"/>
  <c r="BG267" i="7"/>
  <c r="BF267" i="7"/>
  <c r="BC267" i="7"/>
  <c r="BB267" i="7"/>
  <c r="BA267" i="7"/>
  <c r="AX267" i="7"/>
  <c r="AW267" i="7"/>
  <c r="AV267" i="7"/>
  <c r="BH265" i="7"/>
  <c r="BG265" i="7"/>
  <c r="BF265" i="7"/>
  <c r="BM264" i="7"/>
  <c r="BL264" i="7"/>
  <c r="BK264" i="7"/>
  <c r="BH264" i="7"/>
  <c r="BG264" i="7"/>
  <c r="BF264" i="7"/>
  <c r="BC264" i="7"/>
  <c r="BB264" i="7"/>
  <c r="BA264" i="7"/>
  <c r="AX264" i="7"/>
  <c r="AW264" i="7"/>
  <c r="AV264" i="7"/>
  <c r="BM261" i="7"/>
  <c r="BL261" i="7"/>
  <c r="BK261" i="7"/>
  <c r="BH261" i="7"/>
  <c r="BG261" i="7"/>
  <c r="BF261" i="7"/>
  <c r="BC261" i="7"/>
  <c r="BB261" i="7"/>
  <c r="BA261" i="7"/>
  <c r="BM260" i="7"/>
  <c r="BL260" i="7"/>
  <c r="BK260" i="7"/>
  <c r="BH260" i="7"/>
  <c r="BG260" i="7"/>
  <c r="BF260" i="7"/>
  <c r="BK259" i="7"/>
  <c r="BC259" i="7"/>
  <c r="BB259" i="7"/>
  <c r="BM256" i="7"/>
  <c r="BL256" i="7"/>
  <c r="BK256" i="7"/>
  <c r="BB256" i="7"/>
  <c r="BA256" i="7"/>
  <c r="BM255" i="7"/>
  <c r="BL255" i="7"/>
  <c r="BK255" i="7"/>
  <c r="BH255" i="7"/>
  <c r="BG255" i="7"/>
  <c r="BF255" i="7"/>
  <c r="BC255" i="7"/>
  <c r="BB255" i="7"/>
  <c r="BA255" i="7"/>
  <c r="BM254" i="7"/>
  <c r="BL254" i="7"/>
  <c r="BK254" i="7"/>
  <c r="AX254" i="7"/>
  <c r="AW254" i="7"/>
  <c r="AV254" i="7"/>
  <c r="BM249" i="7"/>
  <c r="BL249" i="7"/>
  <c r="BK249" i="7"/>
  <c r="BF249" i="7"/>
  <c r="BC249" i="7"/>
  <c r="BB249" i="7"/>
  <c r="BM248" i="7"/>
  <c r="BL248" i="7"/>
  <c r="BK248" i="7"/>
  <c r="AX248" i="7"/>
  <c r="AW248" i="7"/>
  <c r="AV248" i="7"/>
  <c r="BM247" i="7"/>
  <c r="BL247" i="7"/>
  <c r="BK247" i="7"/>
  <c r="AX247" i="7"/>
  <c r="AW247" i="7"/>
  <c r="AV247" i="7"/>
  <c r="BM246" i="7"/>
  <c r="BL246" i="7"/>
  <c r="BK246" i="7"/>
  <c r="BF246" i="7"/>
  <c r="AX246" i="7"/>
  <c r="AW246" i="7"/>
  <c r="AV246" i="7"/>
  <c r="BM244" i="7"/>
  <c r="BL244" i="7"/>
  <c r="BK244" i="7"/>
  <c r="BH244" i="7"/>
  <c r="BG244" i="7"/>
  <c r="BF244" i="7"/>
  <c r="BC244" i="7"/>
  <c r="BB244" i="7"/>
  <c r="BA244" i="7"/>
  <c r="BM243" i="7"/>
  <c r="BL243" i="7"/>
  <c r="BK243" i="7"/>
  <c r="BH243" i="7"/>
  <c r="BG243" i="7"/>
  <c r="BF243" i="7"/>
  <c r="AX243" i="7"/>
  <c r="AW243" i="7"/>
  <c r="AV243" i="7"/>
  <c r="AX241" i="7"/>
  <c r="AW241" i="7"/>
  <c r="AV241" i="7"/>
  <c r="AV232" i="7"/>
  <c r="BK231" i="7"/>
  <c r="BM228" i="7"/>
  <c r="BL228" i="7"/>
  <c r="BK228" i="7"/>
  <c r="BF228" i="7"/>
  <c r="AV228" i="7"/>
  <c r="BK227" i="7"/>
  <c r="BL224" i="7"/>
  <c r="BK224" i="7"/>
  <c r="BK220" i="7"/>
  <c r="AV219" i="7"/>
  <c r="AV218" i="7"/>
  <c r="BK217" i="7"/>
  <c r="AV212" i="7"/>
  <c r="BM208" i="7"/>
  <c r="BL208" i="7"/>
  <c r="BK208" i="7"/>
  <c r="AV208" i="7"/>
  <c r="BL207" i="7"/>
  <c r="BK207" i="7"/>
  <c r="BK206" i="7"/>
  <c r="BM203" i="7"/>
  <c r="BL203" i="7"/>
  <c r="BK203" i="7"/>
  <c r="BC203" i="7"/>
  <c r="BB203" i="7"/>
  <c r="BA203" i="7"/>
  <c r="AX203" i="7"/>
  <c r="AW203" i="7"/>
  <c r="AV203" i="7"/>
  <c r="AB203" i="7"/>
  <c r="AV202" i="7"/>
  <c r="BM201" i="7"/>
  <c r="BL201" i="7"/>
  <c r="BK201" i="7"/>
  <c r="BA201" i="7"/>
  <c r="AV201" i="7"/>
  <c r="BM200" i="7"/>
  <c r="BL200" i="7"/>
  <c r="BK200" i="7"/>
  <c r="AX200" i="7"/>
  <c r="AW200" i="7"/>
  <c r="BM193" i="7"/>
  <c r="BL193" i="7"/>
  <c r="BK193" i="7"/>
  <c r="AV193" i="7"/>
  <c r="AV188" i="7"/>
  <c r="AX186" i="7"/>
  <c r="AW186" i="7"/>
  <c r="AV186" i="7"/>
  <c r="BM185" i="7"/>
  <c r="BL185" i="7"/>
  <c r="BK185" i="7"/>
  <c r="BC185" i="7"/>
  <c r="BB185" i="7"/>
  <c r="AX185" i="7"/>
  <c r="AW185" i="7"/>
  <c r="AV185" i="7"/>
  <c r="BK184" i="7"/>
  <c r="BA184" i="7"/>
  <c r="AV184" i="7"/>
  <c r="BK176" i="7"/>
  <c r="AV176" i="7"/>
  <c r="BM174" i="7"/>
  <c r="BL174" i="7"/>
  <c r="BK174" i="7"/>
  <c r="AV174" i="7"/>
  <c r="BM170" i="7"/>
  <c r="BL170" i="7"/>
  <c r="BK170" i="7"/>
  <c r="BC170" i="7"/>
  <c r="BB170" i="7"/>
  <c r="BA170" i="7"/>
  <c r="AX170" i="7"/>
  <c r="AW170" i="7"/>
  <c r="AV170" i="7"/>
  <c r="BM169" i="7"/>
  <c r="BL169" i="7"/>
  <c r="BK169" i="7"/>
  <c r="AX169" i="7"/>
  <c r="AW169" i="7"/>
  <c r="AV169" i="7"/>
  <c r="BK167" i="7"/>
  <c r="BM166" i="7"/>
  <c r="BL166" i="7"/>
  <c r="BK166" i="7"/>
  <c r="BC166" i="7"/>
  <c r="BB166" i="7"/>
  <c r="BA166" i="7"/>
  <c r="AX166" i="7"/>
  <c r="AW166" i="7"/>
  <c r="AV166" i="7"/>
  <c r="BM163" i="7"/>
  <c r="BL163" i="7"/>
  <c r="BK163" i="7"/>
  <c r="BM162" i="7"/>
  <c r="BL162" i="7"/>
  <c r="BK162" i="7"/>
  <c r="BF162" i="7"/>
  <c r="BC162" i="7"/>
  <c r="BB162" i="7"/>
  <c r="BA162" i="7"/>
  <c r="AX162" i="7"/>
  <c r="AW162" i="7"/>
  <c r="AV162" i="7"/>
  <c r="BM160" i="7"/>
  <c r="BL160" i="7"/>
  <c r="BK160" i="7"/>
  <c r="BM156" i="7"/>
  <c r="BL156" i="7"/>
  <c r="BK156" i="7"/>
  <c r="BM155" i="7"/>
  <c r="BL155" i="7"/>
  <c r="BK155" i="7"/>
  <c r="BC155" i="7"/>
  <c r="BB155" i="7"/>
  <c r="BA155" i="7"/>
  <c r="AX155" i="7"/>
  <c r="AW155" i="7"/>
  <c r="AV155" i="7"/>
  <c r="BM154" i="7"/>
  <c r="BL154" i="7"/>
  <c r="BK154" i="7"/>
  <c r="BH154" i="7"/>
  <c r="BG154" i="7"/>
  <c r="BF154" i="7"/>
  <c r="BC154" i="7"/>
  <c r="BB154" i="7"/>
  <c r="BA154" i="7"/>
  <c r="BM153" i="7"/>
  <c r="BL153" i="7"/>
  <c r="BK153" i="7"/>
  <c r="BH153" i="7"/>
  <c r="BG153" i="7"/>
  <c r="BF153" i="7"/>
  <c r="BC153" i="7"/>
  <c r="BB153" i="7"/>
  <c r="BA153" i="7"/>
  <c r="BM152" i="7"/>
  <c r="BL152" i="7"/>
  <c r="BK152" i="7"/>
  <c r="BF152" i="7"/>
  <c r="BC152" i="7"/>
  <c r="BB152" i="7"/>
  <c r="BA152" i="7"/>
  <c r="BM151" i="7"/>
  <c r="BL151" i="7"/>
  <c r="BK151" i="7"/>
  <c r="BF151" i="7"/>
  <c r="BM150" i="7"/>
  <c r="BL150" i="7"/>
  <c r="BK150" i="7"/>
  <c r="BC150" i="7"/>
  <c r="BB150" i="7"/>
  <c r="BA150" i="7"/>
  <c r="BM149" i="7"/>
  <c r="BL149" i="7"/>
  <c r="BK149" i="7"/>
  <c r="BC149" i="7"/>
  <c r="BB149" i="7"/>
  <c r="BA149" i="7"/>
  <c r="BM148" i="7"/>
  <c r="BL148" i="7"/>
  <c r="BK148" i="7"/>
  <c r="BF148" i="7"/>
  <c r="BC148" i="7"/>
  <c r="BB148" i="7"/>
  <c r="BA148" i="7"/>
  <c r="AX148" i="7"/>
  <c r="AW148" i="7"/>
  <c r="AV148" i="7"/>
  <c r="AC148" i="7"/>
  <c r="AB148" i="7"/>
  <c r="BM147" i="7"/>
  <c r="BL147" i="7"/>
  <c r="BK147" i="7"/>
  <c r="BM146" i="7"/>
  <c r="BL146" i="7"/>
  <c r="BK146" i="7"/>
  <c r="BH146" i="7"/>
  <c r="BG146" i="7"/>
  <c r="BC146" i="7"/>
  <c r="BB146" i="7"/>
  <c r="BA146" i="7"/>
  <c r="AX144" i="7"/>
  <c r="AW144" i="7"/>
  <c r="AV144" i="7"/>
  <c r="BM143" i="7"/>
  <c r="BL143" i="7"/>
  <c r="BK143" i="7"/>
  <c r="BF143" i="7"/>
  <c r="BA143" i="7"/>
  <c r="AX143" i="7"/>
  <c r="AW143" i="7"/>
  <c r="AV143" i="7"/>
  <c r="BM142" i="7"/>
  <c r="BL142" i="7"/>
  <c r="BK142" i="7"/>
  <c r="BH142" i="7"/>
  <c r="BG142" i="7"/>
  <c r="BF142" i="7"/>
  <c r="AX142" i="7"/>
  <c r="AW142" i="7"/>
  <c r="AV142" i="7"/>
  <c r="BM141" i="7"/>
  <c r="BL141" i="7"/>
  <c r="BK141" i="7"/>
  <c r="BC141" i="7"/>
  <c r="BB141" i="7"/>
  <c r="BA141" i="7"/>
  <c r="AX141" i="7"/>
  <c r="AW141" i="7"/>
  <c r="AV141" i="7"/>
  <c r="BM140" i="7"/>
  <c r="BL140" i="7"/>
  <c r="BK140" i="7"/>
  <c r="BH140" i="7"/>
  <c r="BG140" i="7"/>
  <c r="BF140" i="7"/>
  <c r="BA140" i="7"/>
  <c r="AX140" i="7"/>
  <c r="AW140" i="7"/>
  <c r="AV140" i="7"/>
  <c r="BM139" i="7"/>
  <c r="BL139" i="7"/>
  <c r="BK139" i="7"/>
  <c r="BH139" i="7"/>
  <c r="BG139" i="7"/>
  <c r="BF139" i="7"/>
  <c r="AX139" i="7"/>
  <c r="AW139" i="7"/>
  <c r="AV139" i="7"/>
  <c r="BM138" i="7"/>
  <c r="BL138" i="7"/>
  <c r="BK138" i="7"/>
  <c r="BF138" i="7"/>
  <c r="BA138" i="7"/>
  <c r="AX138" i="7"/>
  <c r="AW138" i="7"/>
  <c r="AV138" i="7"/>
  <c r="BM137" i="7"/>
  <c r="BL137" i="7"/>
  <c r="BK137" i="7"/>
  <c r="BH137" i="7"/>
  <c r="BG137" i="7"/>
  <c r="BF137" i="7"/>
  <c r="AX137" i="7"/>
  <c r="AW137" i="7"/>
  <c r="AV137" i="7"/>
  <c r="BM136" i="7"/>
  <c r="BL136" i="7"/>
  <c r="BK136" i="7"/>
  <c r="BH136" i="7"/>
  <c r="BG136" i="7"/>
  <c r="BA136" i="7"/>
  <c r="BM135" i="7"/>
  <c r="BL135" i="7"/>
  <c r="BK135" i="7"/>
  <c r="BH135" i="7"/>
  <c r="BG135" i="7"/>
  <c r="BF135" i="7"/>
  <c r="BC135" i="7"/>
  <c r="BB135" i="7"/>
  <c r="BA135" i="7"/>
  <c r="AX135" i="7"/>
  <c r="AW135" i="7"/>
  <c r="AV135" i="7"/>
  <c r="BM131" i="7"/>
  <c r="BL131" i="7"/>
  <c r="BK131" i="7"/>
  <c r="BH131" i="7"/>
  <c r="BG131" i="7"/>
  <c r="BC131" i="7"/>
  <c r="BB131" i="7"/>
  <c r="BA131" i="7"/>
  <c r="AX131" i="7"/>
  <c r="AW131" i="7"/>
  <c r="AV131" i="7"/>
  <c r="BM130" i="7"/>
  <c r="BL130" i="7"/>
  <c r="BK130" i="7"/>
  <c r="BH130" i="7"/>
  <c r="BG130" i="7"/>
  <c r="BF130" i="7"/>
  <c r="BC130" i="7"/>
  <c r="BB130" i="7"/>
  <c r="BA130" i="7"/>
  <c r="BM129" i="7"/>
  <c r="BL129" i="7"/>
  <c r="BK129" i="7"/>
  <c r="BH129" i="7"/>
  <c r="BG129" i="7"/>
  <c r="BC129" i="7"/>
  <c r="BB129" i="7"/>
  <c r="BA129" i="7"/>
  <c r="AX129" i="7"/>
  <c r="AW129" i="7"/>
  <c r="AV129" i="7"/>
  <c r="BM128" i="7"/>
  <c r="BL128" i="7"/>
  <c r="BK128" i="7"/>
  <c r="BC128" i="7"/>
  <c r="BB128" i="7"/>
  <c r="BA128" i="7"/>
  <c r="AX128" i="7"/>
  <c r="AW128" i="7"/>
  <c r="AV128" i="7"/>
  <c r="BM127" i="7"/>
  <c r="BL127" i="7"/>
  <c r="BK127" i="7"/>
  <c r="BH127" i="7"/>
  <c r="BG127" i="7"/>
  <c r="BF127" i="7"/>
  <c r="BC127" i="7"/>
  <c r="BB127" i="7"/>
  <c r="BA127" i="7"/>
  <c r="BM126" i="7"/>
  <c r="BL126" i="7"/>
  <c r="BK126" i="7"/>
  <c r="AX126" i="7"/>
  <c r="AW126" i="7"/>
  <c r="AV126" i="7"/>
  <c r="BM125" i="7"/>
  <c r="BL125" i="7"/>
  <c r="BK125" i="7"/>
  <c r="BH125" i="7"/>
  <c r="BG125" i="7"/>
  <c r="BF125" i="7"/>
  <c r="BA125" i="7"/>
  <c r="AX125" i="7"/>
  <c r="AW125" i="7"/>
  <c r="AV125" i="7"/>
  <c r="BM123" i="7"/>
  <c r="BL123" i="7"/>
  <c r="BK123" i="7"/>
  <c r="BH123" i="7"/>
  <c r="BG123" i="7"/>
  <c r="BC123" i="7"/>
  <c r="BB123" i="7"/>
  <c r="BA123" i="7"/>
  <c r="AX123" i="7"/>
  <c r="AW123" i="7"/>
  <c r="AV123" i="7"/>
  <c r="BM122" i="7"/>
  <c r="BL122" i="7"/>
  <c r="BK122" i="7"/>
  <c r="BC122" i="7"/>
  <c r="BB122" i="7"/>
  <c r="BA122" i="7"/>
  <c r="AX122" i="7"/>
  <c r="AW122" i="7"/>
  <c r="AV122" i="7"/>
  <c r="BM121" i="7"/>
  <c r="BL121" i="7"/>
  <c r="BK121" i="7"/>
  <c r="BM120" i="7"/>
  <c r="BL120" i="7"/>
  <c r="BK120" i="7"/>
  <c r="BM119" i="7"/>
  <c r="BL119" i="7"/>
  <c r="BK119" i="7"/>
  <c r="AX119" i="7"/>
  <c r="AW119" i="7"/>
  <c r="AV119" i="7"/>
  <c r="BM118" i="7"/>
  <c r="BL118" i="7"/>
  <c r="BK118" i="7"/>
  <c r="AV118" i="7"/>
  <c r="BM117" i="7"/>
  <c r="BL117" i="7"/>
  <c r="BK117" i="7"/>
  <c r="BF117" i="7"/>
  <c r="AX117" i="7"/>
  <c r="AW117" i="7"/>
  <c r="AV117" i="7"/>
  <c r="BM115" i="7"/>
  <c r="BL115" i="7"/>
  <c r="BK115" i="7"/>
  <c r="BH115" i="7"/>
  <c r="BG115" i="7"/>
  <c r="BF115" i="7"/>
  <c r="BC115" i="7"/>
  <c r="BB115" i="7"/>
  <c r="BA115" i="7"/>
  <c r="AX115" i="7"/>
  <c r="AW115" i="7"/>
  <c r="AV115" i="7"/>
  <c r="BM113" i="7"/>
  <c r="BL113" i="7"/>
  <c r="BK113" i="7"/>
  <c r="BH113" i="7"/>
  <c r="BG113" i="7"/>
  <c r="BF113" i="7"/>
  <c r="BC113" i="7"/>
  <c r="BB113" i="7"/>
  <c r="BA113" i="7"/>
  <c r="AX113" i="7"/>
  <c r="AW113" i="7"/>
  <c r="AV113" i="7"/>
  <c r="BM112" i="7"/>
  <c r="BL112" i="7"/>
  <c r="BK112" i="7"/>
  <c r="AX112" i="7"/>
  <c r="AW112" i="7"/>
  <c r="AV112" i="7"/>
  <c r="AB112" i="7"/>
  <c r="BM110" i="7"/>
  <c r="BL110" i="7"/>
  <c r="BK110" i="7"/>
  <c r="BC110" i="7"/>
  <c r="BB110" i="7"/>
  <c r="BA110" i="7"/>
  <c r="BM109" i="7"/>
  <c r="BL109" i="7"/>
  <c r="BA109" i="7"/>
  <c r="AX109" i="7"/>
  <c r="AW109" i="7"/>
  <c r="AV109" i="7"/>
  <c r="BM108" i="7"/>
  <c r="BL108" i="7"/>
  <c r="BK108" i="7"/>
  <c r="AX108" i="7"/>
  <c r="AW108" i="7"/>
  <c r="AV108" i="7"/>
  <c r="BM106" i="7"/>
  <c r="BL106" i="7"/>
  <c r="BK106" i="7"/>
  <c r="BH106" i="7"/>
  <c r="BG106" i="7"/>
  <c r="BF106" i="7"/>
  <c r="BC106" i="7"/>
  <c r="BB106" i="7"/>
  <c r="BA106" i="7"/>
  <c r="AX106" i="7"/>
  <c r="AW106" i="7"/>
  <c r="AV106" i="7"/>
  <c r="BM105" i="7"/>
  <c r="BL105" i="7"/>
  <c r="BK105" i="7"/>
  <c r="BC105" i="7"/>
  <c r="BB105" i="7"/>
  <c r="BM104" i="7"/>
  <c r="BL104" i="7"/>
  <c r="BK104" i="7"/>
  <c r="AX104" i="7"/>
  <c r="AW104" i="7"/>
  <c r="AV104" i="7"/>
  <c r="BM103" i="7"/>
  <c r="BL103" i="7"/>
  <c r="BK103" i="7"/>
  <c r="BH103" i="7"/>
  <c r="BG103" i="7"/>
  <c r="BF103" i="7"/>
  <c r="BC103" i="7"/>
  <c r="BB103" i="7"/>
  <c r="BA103" i="7"/>
  <c r="AX103" i="7"/>
  <c r="AW103" i="7"/>
  <c r="AV103" i="7"/>
  <c r="BH102" i="7"/>
  <c r="BG102" i="7"/>
  <c r="BF102" i="7"/>
  <c r="BA102" i="7"/>
  <c r="AX102" i="7"/>
  <c r="AW102" i="7"/>
  <c r="AV102" i="7"/>
  <c r="BM101" i="7"/>
  <c r="BL101" i="7"/>
  <c r="BK101" i="7"/>
  <c r="AX101" i="7"/>
  <c r="AW101" i="7"/>
  <c r="AV101" i="7"/>
  <c r="BM99" i="7"/>
  <c r="BL99" i="7"/>
  <c r="BK99" i="7"/>
  <c r="BH99" i="7"/>
  <c r="BG99" i="7"/>
  <c r="BC99" i="7"/>
  <c r="BB99" i="7"/>
  <c r="BA99" i="7"/>
  <c r="BM98" i="7"/>
  <c r="BL98" i="7"/>
  <c r="BK98" i="7"/>
  <c r="BH98" i="7"/>
  <c r="BG98" i="7"/>
  <c r="BC98" i="7"/>
  <c r="BB98" i="7"/>
  <c r="BA98" i="7"/>
  <c r="AX98" i="7"/>
  <c r="AW98" i="7"/>
  <c r="AV98" i="7"/>
  <c r="BH97" i="7"/>
  <c r="BG97" i="7"/>
  <c r="BF97" i="7"/>
  <c r="BC97" i="7"/>
  <c r="BB97" i="7"/>
  <c r="BA97" i="7"/>
  <c r="BM96" i="7"/>
  <c r="BL96" i="7"/>
  <c r="BF96" i="7"/>
  <c r="BC96" i="7"/>
  <c r="BB96" i="7"/>
  <c r="BA96" i="7"/>
  <c r="AX96" i="7"/>
  <c r="AW96" i="7"/>
  <c r="AV96" i="7"/>
  <c r="BH95" i="7"/>
  <c r="BG95" i="7"/>
  <c r="BF95" i="7"/>
  <c r="AV95" i="7"/>
  <c r="BM94" i="7"/>
  <c r="BL94" i="7"/>
  <c r="BK94" i="7"/>
  <c r="AX94" i="7"/>
  <c r="AW94" i="7"/>
  <c r="AV94" i="7"/>
  <c r="BK92" i="7"/>
  <c r="BH92" i="7"/>
  <c r="BG92" i="7"/>
  <c r="BF92" i="7"/>
  <c r="BC92" i="7"/>
  <c r="BB92" i="7"/>
  <c r="BA92" i="7"/>
  <c r="AX92" i="7"/>
  <c r="AW92" i="7"/>
  <c r="AV92" i="7"/>
  <c r="BM90" i="7"/>
  <c r="BL90" i="7"/>
  <c r="BK90" i="7"/>
  <c r="BH90" i="7"/>
  <c r="BG90" i="7"/>
  <c r="BF90" i="7"/>
  <c r="AV90" i="7"/>
  <c r="BM86" i="7"/>
  <c r="BL86" i="7"/>
  <c r="BK86" i="7"/>
  <c r="BM85" i="7"/>
  <c r="BL85" i="7"/>
  <c r="BK85" i="7"/>
  <c r="BH85" i="7"/>
  <c r="BG85" i="7"/>
  <c r="BF85" i="7"/>
  <c r="BC85" i="7"/>
  <c r="BB85" i="7"/>
  <c r="BA85" i="7"/>
  <c r="AX85" i="7"/>
  <c r="AW85" i="7"/>
  <c r="AV85" i="7"/>
  <c r="BM84" i="7"/>
  <c r="BL84" i="7"/>
  <c r="BK84" i="7"/>
  <c r="BF84" i="7"/>
  <c r="AV84" i="7"/>
  <c r="BH83" i="7"/>
  <c r="BG83" i="7"/>
  <c r="BF83" i="7"/>
  <c r="BM82" i="7"/>
  <c r="BL82" i="7"/>
  <c r="BK82" i="7"/>
  <c r="BA81" i="7"/>
  <c r="BM80" i="7"/>
  <c r="BL80" i="7"/>
  <c r="BK80" i="7"/>
  <c r="AX80" i="7"/>
  <c r="AW80" i="7"/>
  <c r="AV80" i="7"/>
  <c r="BH79" i="7"/>
  <c r="BG79" i="7"/>
  <c r="BF79" i="7"/>
  <c r="AW79" i="7"/>
  <c r="BH78" i="7"/>
  <c r="BG78" i="7"/>
  <c r="BF78" i="7"/>
  <c r="AX78" i="7"/>
  <c r="AW78" i="7"/>
  <c r="AV78" i="7"/>
  <c r="BM77" i="7"/>
  <c r="BL77" i="7"/>
  <c r="BK77" i="7"/>
  <c r="AX77" i="7"/>
  <c r="AW77" i="7"/>
  <c r="AV77" i="7"/>
  <c r="AX74" i="7"/>
  <c r="AW74" i="7"/>
  <c r="AV74" i="7"/>
  <c r="BH73" i="7"/>
  <c r="BG73" i="7"/>
  <c r="BF73" i="7"/>
  <c r="BM72" i="7"/>
  <c r="BL72" i="7"/>
  <c r="BK72" i="7"/>
  <c r="AX72" i="7"/>
  <c r="AW72" i="7"/>
  <c r="AV72" i="7"/>
  <c r="BK69" i="7"/>
  <c r="AX69" i="7"/>
  <c r="AW69" i="7"/>
  <c r="AV69" i="7"/>
  <c r="BM67" i="7"/>
  <c r="BL67" i="7"/>
  <c r="BK67" i="7"/>
  <c r="BF67" i="7"/>
  <c r="BC67" i="7"/>
  <c r="BB67" i="7"/>
  <c r="AX67" i="7"/>
  <c r="AW67" i="7"/>
  <c r="AV67" i="7"/>
  <c r="BH66" i="7"/>
  <c r="BG66" i="7"/>
  <c r="BF66" i="7"/>
  <c r="AX66" i="7"/>
  <c r="AW66" i="7"/>
  <c r="AV66" i="7"/>
  <c r="BM64" i="7"/>
  <c r="BL64" i="7"/>
  <c r="BK64" i="7"/>
  <c r="BF64" i="7"/>
  <c r="BC64" i="7"/>
  <c r="BB64" i="7"/>
  <c r="AX64" i="7"/>
  <c r="AW64" i="7"/>
  <c r="AV64" i="7"/>
  <c r="BK63" i="7"/>
  <c r="BH63" i="7"/>
  <c r="BG63" i="7"/>
  <c r="BF63" i="7"/>
  <c r="BC63" i="7"/>
  <c r="BB63" i="7"/>
  <c r="BA63" i="7"/>
  <c r="AX63" i="7"/>
  <c r="AW63" i="7"/>
  <c r="AV63" i="7"/>
  <c r="BM62" i="7"/>
  <c r="BL62" i="7"/>
  <c r="BK62" i="7"/>
  <c r="BH62" i="7"/>
  <c r="BG62" i="7"/>
  <c r="BF62" i="7"/>
  <c r="BC62" i="7"/>
  <c r="BB62" i="7"/>
  <c r="AX62" i="7"/>
  <c r="AW62" i="7"/>
  <c r="AV62" i="7"/>
  <c r="BM60" i="7"/>
  <c r="BL60" i="7"/>
  <c r="BK60" i="7"/>
  <c r="AX60" i="7"/>
  <c r="AW60" i="7"/>
  <c r="AV60" i="7"/>
  <c r="AX59" i="7"/>
  <c r="AW59" i="7"/>
  <c r="AV59" i="7"/>
  <c r="BM58" i="7"/>
  <c r="BL58" i="7"/>
  <c r="BK58" i="7"/>
  <c r="BH58" i="7"/>
  <c r="BG58" i="7"/>
  <c r="BF58" i="7"/>
  <c r="AX58" i="7"/>
  <c r="AW58" i="7"/>
  <c r="AV58" i="7"/>
  <c r="AX57" i="7"/>
  <c r="AW57" i="7"/>
  <c r="AV57" i="7"/>
  <c r="BM56" i="7"/>
  <c r="BL56" i="7"/>
  <c r="BK56" i="7"/>
  <c r="BH56" i="7"/>
  <c r="BG56" i="7"/>
  <c r="BF56" i="7"/>
  <c r="BC56" i="7"/>
  <c r="BB56" i="7"/>
  <c r="BA56" i="7"/>
  <c r="AX56" i="7"/>
  <c r="AW56" i="7"/>
  <c r="AV56" i="7"/>
  <c r="BM52" i="7"/>
  <c r="BL52" i="7"/>
  <c r="BK52" i="7"/>
  <c r="BH52" i="7"/>
  <c r="BG52" i="7"/>
  <c r="BF52" i="7"/>
  <c r="BC52" i="7"/>
  <c r="BB52" i="7"/>
  <c r="BA52" i="7"/>
  <c r="AX52" i="7"/>
  <c r="AW52" i="7"/>
  <c r="AV52" i="7"/>
  <c r="BM51" i="7"/>
  <c r="BL51" i="7"/>
  <c r="BK51" i="7"/>
  <c r="BH51" i="7"/>
  <c r="BG51" i="7"/>
  <c r="BF51" i="7"/>
  <c r="BC51" i="7"/>
  <c r="BB51" i="7"/>
  <c r="BA51" i="7"/>
  <c r="AX51" i="7"/>
  <c r="AW51" i="7"/>
  <c r="AV51" i="7"/>
  <c r="BM50" i="7"/>
  <c r="BL50" i="7"/>
  <c r="BK50" i="7"/>
  <c r="BH50" i="7"/>
  <c r="BG50" i="7"/>
  <c r="BF50" i="7"/>
  <c r="BC50" i="7"/>
  <c r="BB50" i="7"/>
  <c r="BA50" i="7"/>
  <c r="AX50" i="7"/>
  <c r="AW50" i="7"/>
  <c r="AV50" i="7"/>
  <c r="BM48" i="7"/>
  <c r="BL48" i="7"/>
  <c r="BK48" i="7"/>
  <c r="BH48" i="7"/>
  <c r="BG48" i="7"/>
  <c r="BF48" i="7"/>
  <c r="AX48" i="7"/>
  <c r="AW48" i="7"/>
  <c r="AV48" i="7"/>
  <c r="AS48" i="7"/>
  <c r="AR48" i="7"/>
  <c r="BM47" i="7"/>
  <c r="BL47" i="7"/>
  <c r="BK47" i="7"/>
  <c r="BH47" i="7"/>
  <c r="BG47" i="7"/>
  <c r="BF47" i="7"/>
  <c r="BC47" i="7"/>
  <c r="BB47" i="7"/>
  <c r="BA47" i="7"/>
  <c r="AX47" i="7"/>
  <c r="AW47" i="7"/>
  <c r="AV47" i="7"/>
  <c r="AD47" i="7"/>
  <c r="AB47" i="7"/>
  <c r="BK45" i="7"/>
  <c r="BH45" i="7"/>
  <c r="BG45" i="7"/>
  <c r="BF45" i="7"/>
  <c r="BK43" i="7"/>
  <c r="BH43" i="7"/>
  <c r="BG43" i="7"/>
  <c r="BF43" i="7"/>
  <c r="BM42" i="7"/>
  <c r="BL42" i="7"/>
  <c r="BK42" i="7"/>
  <c r="BH42" i="7"/>
  <c r="BG42" i="7"/>
  <c r="BF42" i="7"/>
  <c r="BC42" i="7"/>
  <c r="BB42" i="7"/>
  <c r="BA42" i="7"/>
  <c r="AX42" i="7"/>
  <c r="AW42" i="7"/>
  <c r="AV42" i="7"/>
  <c r="AS42" i="7"/>
  <c r="AR42" i="7"/>
  <c r="BM41" i="7"/>
  <c r="BL41" i="7"/>
  <c r="BH41" i="7"/>
  <c r="BG41" i="7"/>
  <c r="BF41" i="7"/>
  <c r="AX41" i="7"/>
  <c r="AW41" i="7"/>
  <c r="AV41" i="7"/>
  <c r="AS41" i="7"/>
  <c r="AR41" i="7"/>
  <c r="BM40" i="7"/>
  <c r="BL40" i="7"/>
  <c r="BK40" i="7"/>
  <c r="BH40" i="7"/>
  <c r="BG40" i="7"/>
  <c r="BF40" i="7"/>
  <c r="AX40" i="7"/>
  <c r="AW40" i="7"/>
  <c r="AV40" i="7"/>
  <c r="AS40" i="7"/>
  <c r="AR40" i="7"/>
  <c r="BM39" i="7"/>
  <c r="BL39" i="7"/>
  <c r="BK39" i="7"/>
  <c r="BH39" i="7"/>
  <c r="BG39" i="7"/>
  <c r="BF39" i="7"/>
  <c r="BC39" i="7"/>
  <c r="BB39" i="7"/>
  <c r="BA39" i="7"/>
  <c r="AX39" i="7"/>
  <c r="AW39" i="7"/>
  <c r="AV39" i="7"/>
  <c r="BM37" i="7"/>
  <c r="BL37" i="7"/>
  <c r="BK37" i="7"/>
  <c r="BH37" i="7"/>
  <c r="BG37" i="7"/>
  <c r="BF37" i="7"/>
  <c r="AX37" i="7"/>
  <c r="AW37" i="7"/>
  <c r="AV37" i="7"/>
  <c r="BM36" i="7"/>
  <c r="BL36" i="7"/>
  <c r="BK36" i="7"/>
  <c r="AX36" i="7"/>
  <c r="AW36" i="7"/>
  <c r="AV36" i="7"/>
  <c r="BM35" i="7"/>
  <c r="BL35" i="7"/>
  <c r="BK35" i="7"/>
  <c r="BH35" i="7"/>
  <c r="BG35" i="7"/>
  <c r="BF35" i="7"/>
  <c r="BC35" i="7"/>
  <c r="BB35" i="7"/>
  <c r="BA35" i="7"/>
  <c r="AX35" i="7"/>
  <c r="AW35" i="7"/>
  <c r="AV35" i="7"/>
  <c r="BB34" i="7"/>
  <c r="BA34" i="7"/>
  <c r="AX34" i="7"/>
  <c r="AW34" i="7"/>
  <c r="AV34" i="7"/>
  <c r="BM32" i="7"/>
  <c r="BL32" i="7"/>
  <c r="BK32" i="7"/>
  <c r="AX32" i="7"/>
  <c r="AW32" i="7"/>
  <c r="AV32" i="7"/>
  <c r="BK30" i="7"/>
  <c r="BC30" i="7"/>
  <c r="BB30" i="7"/>
  <c r="BA30" i="7"/>
  <c r="AW30" i="7"/>
  <c r="AV30" i="7"/>
  <c r="BM29" i="7"/>
  <c r="BL29" i="7"/>
  <c r="BK29" i="7"/>
  <c r="AX29" i="7"/>
  <c r="AW29" i="7"/>
  <c r="AV29" i="7"/>
  <c r="BH28" i="7"/>
  <c r="BG28" i="7"/>
  <c r="BF28" i="7"/>
  <c r="AX28" i="7"/>
  <c r="AW28" i="7"/>
  <c r="AV28" i="7"/>
  <c r="BM27" i="7"/>
  <c r="BL27" i="7"/>
  <c r="BH27" i="7"/>
  <c r="BG27" i="7"/>
  <c r="BF27" i="7"/>
  <c r="AX27" i="7"/>
  <c r="AW27" i="7"/>
  <c r="AV27" i="7"/>
  <c r="BM26" i="7"/>
  <c r="BL26" i="7"/>
  <c r="BK26" i="7"/>
  <c r="BH26" i="7"/>
  <c r="BG26" i="7"/>
  <c r="BF26" i="7"/>
  <c r="BB26" i="7"/>
  <c r="BA26" i="7"/>
  <c r="AX26" i="7"/>
  <c r="AW26" i="7"/>
  <c r="AV26" i="7"/>
  <c r="BM24" i="7"/>
  <c r="BL24" i="7"/>
  <c r="BK24" i="7"/>
  <c r="BH24" i="7"/>
  <c r="BG24" i="7"/>
  <c r="BF24" i="7"/>
  <c r="BC24" i="7"/>
  <c r="BB24" i="7"/>
  <c r="BA24" i="7"/>
  <c r="AX24" i="7"/>
  <c r="AW24" i="7"/>
  <c r="AV24" i="7"/>
  <c r="BM22" i="7"/>
  <c r="BL22" i="7"/>
  <c r="BK22" i="7"/>
  <c r="BH22" i="7"/>
  <c r="BG22" i="7"/>
  <c r="BF22" i="7"/>
  <c r="BC22" i="7"/>
  <c r="BB22" i="7"/>
  <c r="BA22" i="7"/>
  <c r="AX22" i="7"/>
  <c r="AW22" i="7"/>
  <c r="AV22" i="7"/>
  <c r="BM20" i="7"/>
  <c r="BL20" i="7"/>
  <c r="BK20" i="7"/>
  <c r="BH20" i="7"/>
  <c r="BG20" i="7"/>
  <c r="BF20" i="7"/>
  <c r="BC20" i="7"/>
  <c r="BB20" i="7"/>
  <c r="BA20" i="7"/>
  <c r="AX20" i="7"/>
  <c r="BM19" i="7"/>
  <c r="BL19" i="7"/>
  <c r="BM16" i="7"/>
  <c r="BL16" i="7"/>
  <c r="BK16" i="7"/>
  <c r="BF16" i="7"/>
  <c r="BC16" i="7"/>
  <c r="BB16" i="7"/>
  <c r="BA16" i="7"/>
  <c r="BM15" i="7"/>
  <c r="BL15" i="7"/>
  <c r="BH15" i="7"/>
  <c r="BG15" i="7"/>
  <c r="BF15" i="7"/>
  <c r="BC15" i="7"/>
  <c r="BB15" i="7"/>
  <c r="BA15" i="7"/>
  <c r="AX15" i="7"/>
  <c r="AW15" i="7"/>
  <c r="AV15" i="7"/>
  <c r="BM14" i="7"/>
  <c r="BL14" i="7"/>
  <c r="BK14" i="7"/>
  <c r="AX14" i="7"/>
  <c r="AW14" i="7"/>
  <c r="AV14" i="7"/>
  <c r="BM13" i="7"/>
  <c r="BL13" i="7"/>
  <c r="BK13" i="7"/>
  <c r="BH13" i="7"/>
  <c r="BG13" i="7"/>
  <c r="AX8" i="7"/>
  <c r="AW8" i="7"/>
  <c r="AV8" i="7"/>
  <c r="BM7" i="7"/>
  <c r="BL7" i="7"/>
  <c r="BK7" i="7"/>
  <c r="BC7" i="7"/>
  <c r="AW7" i="7"/>
  <c r="BC337" i="6"/>
  <c r="BB337" i="6"/>
  <c r="BA337" i="6"/>
  <c r="AI337" i="6"/>
  <c r="AH337" i="6"/>
  <c r="AG337" i="6"/>
  <c r="AD337" i="6"/>
  <c r="AC337" i="6"/>
  <c r="AB337" i="6"/>
  <c r="T337" i="6"/>
  <c r="S337" i="6"/>
  <c r="R337" i="6"/>
  <c r="E337" i="6"/>
  <c r="D337" i="6"/>
  <c r="C337" i="6"/>
  <c r="AD336" i="6"/>
  <c r="AC336" i="6"/>
  <c r="AB336" i="6"/>
  <c r="T336" i="6"/>
  <c r="S336" i="6"/>
  <c r="R336" i="6"/>
  <c r="E336" i="6"/>
  <c r="D336" i="6"/>
  <c r="C336" i="6"/>
  <c r="BC334" i="6"/>
  <c r="BB334" i="6"/>
  <c r="BA334" i="6"/>
  <c r="AD334" i="6"/>
  <c r="AC334" i="6"/>
  <c r="AB334" i="6"/>
  <c r="T334" i="6"/>
  <c r="S334" i="6"/>
  <c r="R334" i="6"/>
  <c r="E334" i="6"/>
  <c r="D334" i="6"/>
  <c r="C334" i="6"/>
  <c r="BC333" i="6"/>
  <c r="BB333" i="6"/>
  <c r="BA333" i="6"/>
  <c r="AD333" i="6"/>
  <c r="AC333" i="6"/>
  <c r="AB333" i="6"/>
  <c r="T333" i="6"/>
  <c r="S333" i="6"/>
  <c r="R333" i="6"/>
  <c r="E333" i="6"/>
  <c r="D333" i="6"/>
  <c r="C333" i="6"/>
  <c r="BC326" i="6"/>
  <c r="BB326" i="6"/>
  <c r="BA326" i="6"/>
  <c r="AD326" i="6"/>
  <c r="AC326" i="6"/>
  <c r="AB326" i="6"/>
  <c r="T326" i="6"/>
  <c r="S326" i="6"/>
  <c r="R326" i="6"/>
  <c r="E326" i="6"/>
  <c r="D326" i="6"/>
  <c r="C326" i="6"/>
  <c r="BC325" i="6"/>
  <c r="BB325" i="6"/>
  <c r="BA325" i="6"/>
  <c r="AD325" i="6"/>
  <c r="AC325" i="6"/>
  <c r="AB325" i="6"/>
  <c r="T325" i="6"/>
  <c r="S325" i="6"/>
  <c r="R325" i="6"/>
  <c r="E325" i="6"/>
  <c r="D325" i="6"/>
  <c r="C325" i="6"/>
  <c r="BC324" i="6"/>
  <c r="BB324" i="6"/>
  <c r="BA324" i="6"/>
  <c r="AD324" i="6"/>
  <c r="AC324" i="6"/>
  <c r="AB324" i="6"/>
  <c r="T324" i="6"/>
  <c r="S324" i="6"/>
  <c r="R324" i="6"/>
  <c r="E324" i="6"/>
  <c r="D324" i="6"/>
  <c r="C324" i="6"/>
  <c r="BC322" i="6"/>
  <c r="AD322" i="6"/>
  <c r="AC322" i="6"/>
  <c r="AB322" i="6"/>
  <c r="BC317" i="6"/>
  <c r="BB317" i="6"/>
  <c r="BA317" i="6"/>
  <c r="AD317" i="6"/>
  <c r="AC317" i="6"/>
  <c r="AB317" i="6"/>
  <c r="T317" i="6"/>
  <c r="S317" i="6"/>
  <c r="R317" i="6"/>
  <c r="D317" i="6"/>
  <c r="C317" i="6"/>
  <c r="BC316" i="6"/>
  <c r="BA316" i="6"/>
  <c r="AD316" i="6"/>
  <c r="AC316" i="6"/>
  <c r="AB316" i="6"/>
  <c r="BC315" i="6"/>
  <c r="BB315" i="6"/>
  <c r="BA315" i="6"/>
  <c r="AD315" i="6"/>
  <c r="AC315" i="6"/>
  <c r="AB315" i="6"/>
  <c r="T315" i="6"/>
  <c r="S315" i="6"/>
  <c r="R315" i="6"/>
  <c r="AD314" i="6"/>
  <c r="AC314" i="6"/>
  <c r="AB314" i="6"/>
  <c r="AD312" i="6"/>
  <c r="AC312" i="6"/>
  <c r="AB312" i="6"/>
  <c r="T312" i="6"/>
  <c r="S312" i="6"/>
  <c r="R312" i="6"/>
  <c r="E312" i="6"/>
  <c r="D312" i="6"/>
  <c r="C312" i="6"/>
  <c r="BC311" i="6"/>
  <c r="BB311" i="6"/>
  <c r="BA311" i="6"/>
  <c r="AD311" i="6"/>
  <c r="AC311" i="6"/>
  <c r="AB311" i="6"/>
  <c r="T311" i="6"/>
  <c r="S311" i="6"/>
  <c r="R311" i="6"/>
  <c r="E311" i="6"/>
  <c r="D311" i="6"/>
  <c r="C311" i="6"/>
  <c r="T310" i="6"/>
  <c r="S310" i="6"/>
  <c r="R310" i="6"/>
  <c r="BH308" i="6"/>
  <c r="BG308" i="6"/>
  <c r="BF308" i="6"/>
  <c r="BC308" i="6"/>
  <c r="BB308" i="6"/>
  <c r="BA308" i="6"/>
  <c r="AD308" i="6"/>
  <c r="AC308" i="6"/>
  <c r="AB308" i="6"/>
  <c r="T308" i="6"/>
  <c r="S308" i="6"/>
  <c r="R308" i="6"/>
  <c r="E308" i="6"/>
  <c r="D308" i="6"/>
  <c r="C308" i="6"/>
  <c r="BH298" i="6"/>
  <c r="BG298" i="6"/>
  <c r="BF298" i="6"/>
  <c r="BC298" i="6"/>
  <c r="BB298" i="6"/>
  <c r="BA298" i="6"/>
  <c r="AI298" i="6"/>
  <c r="AH298" i="6"/>
  <c r="AG298" i="6"/>
  <c r="AD298" i="6"/>
  <c r="AC298" i="6"/>
  <c r="AB298" i="6"/>
  <c r="T298" i="6"/>
  <c r="S298" i="6"/>
  <c r="R298" i="6"/>
  <c r="E298" i="6"/>
  <c r="D298" i="6"/>
  <c r="C298" i="6"/>
  <c r="BC295" i="6"/>
  <c r="AI295" i="6"/>
  <c r="AH295" i="6"/>
  <c r="AG295" i="6"/>
  <c r="BC292" i="6"/>
  <c r="BB292" i="6"/>
  <c r="BA292" i="6"/>
  <c r="AD292" i="6"/>
  <c r="AC292" i="6"/>
  <c r="AB292" i="6"/>
  <c r="T292" i="6"/>
  <c r="S292" i="6"/>
  <c r="R292" i="6"/>
  <c r="E292" i="6"/>
  <c r="D292" i="6"/>
  <c r="C292" i="6"/>
  <c r="BC289" i="6"/>
  <c r="BB289" i="6"/>
  <c r="BA289" i="6"/>
  <c r="AD289" i="6"/>
  <c r="AC289" i="6"/>
  <c r="AB289" i="6"/>
  <c r="T289" i="6"/>
  <c r="S289" i="6"/>
  <c r="R289" i="6"/>
  <c r="BC288" i="6"/>
  <c r="BB288" i="6"/>
  <c r="T288" i="6"/>
  <c r="S288" i="6"/>
  <c r="R288" i="6"/>
  <c r="E288" i="6"/>
  <c r="D288" i="6"/>
  <c r="C288" i="6"/>
  <c r="BC287" i="6"/>
  <c r="BB287" i="6"/>
  <c r="BA287" i="6"/>
  <c r="AG287" i="6"/>
  <c r="AD287" i="6"/>
  <c r="AC287" i="6"/>
  <c r="AB287" i="6"/>
  <c r="T287" i="6"/>
  <c r="S287" i="6"/>
  <c r="R287" i="6"/>
  <c r="E287" i="6"/>
  <c r="D287" i="6"/>
  <c r="C287" i="6"/>
  <c r="T286" i="6"/>
  <c r="S286" i="6"/>
  <c r="R286" i="6"/>
  <c r="BH285" i="6"/>
  <c r="BG285" i="6"/>
  <c r="BF285" i="6"/>
  <c r="BC285" i="6"/>
  <c r="BB285" i="6"/>
  <c r="BA285" i="6"/>
  <c r="AD285" i="6"/>
  <c r="AC285" i="6"/>
  <c r="AB285" i="6"/>
  <c r="T285" i="6"/>
  <c r="S285" i="6"/>
  <c r="R285" i="6"/>
  <c r="E285" i="6"/>
  <c r="D285" i="6"/>
  <c r="C285" i="6"/>
  <c r="BC284" i="6"/>
  <c r="BB284" i="6"/>
  <c r="BA284" i="6"/>
  <c r="AD284" i="6"/>
  <c r="AC284" i="6"/>
  <c r="AB284" i="6"/>
  <c r="T284" i="6"/>
  <c r="S284" i="6"/>
  <c r="R284" i="6"/>
  <c r="E283" i="6"/>
  <c r="D283" i="6"/>
  <c r="C283" i="6"/>
  <c r="BC281" i="6"/>
  <c r="BB281" i="6"/>
  <c r="BA281" i="6"/>
  <c r="AD281" i="6"/>
  <c r="AC281" i="6"/>
  <c r="AB281" i="6"/>
  <c r="T281" i="6"/>
  <c r="S281" i="6"/>
  <c r="R281" i="6"/>
  <c r="AD280" i="6"/>
  <c r="AC280" i="6"/>
  <c r="AB280" i="6"/>
  <c r="T280" i="6"/>
  <c r="S280" i="6"/>
  <c r="R280" i="6"/>
  <c r="BC276" i="6"/>
  <c r="BB276" i="6"/>
  <c r="BA276" i="6"/>
  <c r="AD276" i="6"/>
  <c r="AC276" i="6"/>
  <c r="AB276" i="6"/>
  <c r="T276" i="6"/>
  <c r="S276" i="6"/>
  <c r="R276" i="6"/>
  <c r="E276" i="6"/>
  <c r="D276" i="6"/>
  <c r="C276" i="6"/>
  <c r="BC275" i="6"/>
  <c r="BB275" i="6"/>
  <c r="BA275" i="6"/>
  <c r="AD275" i="6"/>
  <c r="AC275" i="6"/>
  <c r="AB275" i="6"/>
  <c r="T275" i="6"/>
  <c r="S275" i="6"/>
  <c r="R275" i="6"/>
  <c r="C275" i="6"/>
  <c r="BC274" i="6"/>
  <c r="BB274" i="6"/>
  <c r="BA274" i="6"/>
  <c r="AD274" i="6"/>
  <c r="AC274" i="6"/>
  <c r="AB274" i="6"/>
  <c r="BH268" i="6"/>
  <c r="BG268" i="6"/>
  <c r="BF268" i="6"/>
  <c r="BC268" i="6"/>
  <c r="BB268" i="6"/>
  <c r="BA268" i="6"/>
  <c r="AD268" i="6"/>
  <c r="AC268" i="6"/>
  <c r="AB268" i="6"/>
  <c r="T268" i="6"/>
  <c r="S268" i="6"/>
  <c r="R268" i="6"/>
  <c r="E268" i="6"/>
  <c r="D268" i="6"/>
  <c r="C268" i="6"/>
  <c r="E266" i="6"/>
  <c r="D266" i="6"/>
  <c r="C266" i="6"/>
  <c r="BB264" i="6"/>
  <c r="BA264" i="6"/>
  <c r="AD263" i="6"/>
  <c r="AC263" i="6"/>
  <c r="AB263" i="6"/>
  <c r="T263" i="6"/>
  <c r="S263" i="6"/>
  <c r="R263" i="6"/>
  <c r="BC260" i="6"/>
  <c r="BB260" i="6"/>
  <c r="BA260" i="6"/>
  <c r="AD260" i="6"/>
  <c r="AC260" i="6"/>
  <c r="AB260" i="6"/>
  <c r="T260" i="6"/>
  <c r="S260" i="6"/>
  <c r="R260" i="6"/>
  <c r="E260" i="6"/>
  <c r="D260" i="6"/>
  <c r="C260" i="6"/>
  <c r="T251" i="6"/>
  <c r="S251" i="6"/>
  <c r="R251" i="6"/>
  <c r="AD249" i="6"/>
  <c r="AC249" i="6"/>
  <c r="AB249" i="6"/>
  <c r="T249" i="6"/>
  <c r="S249" i="6"/>
  <c r="R249" i="6"/>
  <c r="E249" i="6"/>
  <c r="D249" i="6"/>
  <c r="C249" i="6"/>
  <c r="BC248" i="6"/>
  <c r="BB248" i="6"/>
  <c r="BA248" i="6"/>
  <c r="AD248" i="6"/>
  <c r="AC248" i="6"/>
  <c r="AB248" i="6"/>
  <c r="T248" i="6"/>
  <c r="S248" i="6"/>
  <c r="R248" i="6"/>
  <c r="E247" i="6"/>
  <c r="D247" i="6"/>
  <c r="C247" i="6"/>
  <c r="BC241" i="6"/>
  <c r="BB241" i="6"/>
  <c r="BA241" i="6"/>
  <c r="AI241" i="6"/>
  <c r="AH241" i="6"/>
  <c r="AG241" i="6"/>
  <c r="AD241" i="6"/>
  <c r="AC241" i="6"/>
  <c r="AB241" i="6"/>
  <c r="T241" i="6"/>
  <c r="S241" i="6"/>
  <c r="R241" i="6"/>
  <c r="BC240" i="6"/>
  <c r="BB240" i="6"/>
  <c r="BA240" i="6"/>
  <c r="AD240" i="6"/>
  <c r="AC240" i="6"/>
  <c r="AB240" i="6"/>
  <c r="S240" i="6"/>
  <c r="D240" i="6"/>
  <c r="C240" i="6"/>
  <c r="BC238" i="6"/>
  <c r="BB238" i="6"/>
  <c r="BA238" i="6"/>
  <c r="AD238" i="6"/>
  <c r="AC238" i="6"/>
  <c r="AB238" i="6"/>
  <c r="T238" i="6"/>
  <c r="S238" i="6"/>
  <c r="R238" i="6"/>
  <c r="T237" i="6"/>
  <c r="S237" i="6"/>
  <c r="R237" i="6"/>
  <c r="T233" i="6"/>
  <c r="S233" i="6"/>
  <c r="R233" i="6"/>
  <c r="BC232" i="6"/>
  <c r="BB232" i="6"/>
  <c r="BA232" i="6"/>
  <c r="AD232" i="6"/>
  <c r="AC232" i="6"/>
  <c r="AB232" i="6"/>
  <c r="T232" i="6"/>
  <c r="S232" i="6"/>
  <c r="R232" i="6"/>
  <c r="BH231" i="6"/>
  <c r="BG231" i="6"/>
  <c r="BF231" i="6"/>
  <c r="BC231" i="6"/>
  <c r="BB231" i="6"/>
  <c r="BA231" i="6"/>
  <c r="AD231" i="6"/>
  <c r="AC231" i="6"/>
  <c r="AB231" i="6"/>
  <c r="T231" i="6"/>
  <c r="S231" i="6"/>
  <c r="R231" i="6"/>
  <c r="C231" i="6"/>
  <c r="BH230" i="6"/>
  <c r="BG230" i="6"/>
  <c r="BF230" i="6"/>
  <c r="BC230" i="6"/>
  <c r="BB230" i="6"/>
  <c r="BA230" i="6"/>
  <c r="AD230" i="6"/>
  <c r="AC230" i="6"/>
  <c r="AB230" i="6"/>
  <c r="T230" i="6"/>
  <c r="S230" i="6"/>
  <c r="R230" i="6"/>
  <c r="AX226" i="6"/>
  <c r="AV226" i="6"/>
  <c r="AS226" i="6"/>
  <c r="AR226" i="6"/>
  <c r="AQ226" i="6"/>
  <c r="AN226" i="6"/>
  <c r="AM226" i="6"/>
  <c r="AL226" i="6"/>
  <c r="AI226" i="6"/>
  <c r="AH226" i="6"/>
  <c r="AG226" i="6"/>
  <c r="Y226" i="6"/>
  <c r="X226" i="6"/>
  <c r="W226" i="6"/>
  <c r="T226" i="6"/>
  <c r="S226" i="6"/>
  <c r="R226" i="6"/>
  <c r="O226" i="6"/>
  <c r="N226" i="6"/>
  <c r="M226" i="6"/>
  <c r="J226" i="6"/>
  <c r="I226" i="6"/>
  <c r="H226" i="6"/>
  <c r="E226" i="6"/>
  <c r="D226" i="6"/>
  <c r="C226" i="6"/>
  <c r="BC225" i="6"/>
  <c r="BB225" i="6"/>
  <c r="BA225" i="6"/>
  <c r="AX225" i="6"/>
  <c r="AV225" i="6"/>
  <c r="AS225" i="6"/>
  <c r="AR225" i="6"/>
  <c r="AQ225" i="6"/>
  <c r="AN225" i="6"/>
  <c r="AM225" i="6"/>
  <c r="AL225" i="6"/>
  <c r="AI225" i="6"/>
  <c r="AH225" i="6"/>
  <c r="AG225" i="6"/>
  <c r="AD225" i="6"/>
  <c r="AC225" i="6"/>
  <c r="AB225" i="6"/>
  <c r="Y225" i="6"/>
  <c r="X225" i="6"/>
  <c r="W225" i="6"/>
  <c r="T225" i="6"/>
  <c r="S225" i="6"/>
  <c r="R225" i="6"/>
  <c r="O225" i="6"/>
  <c r="N225" i="6"/>
  <c r="M225" i="6"/>
  <c r="J225" i="6"/>
  <c r="I225" i="6"/>
  <c r="H225" i="6"/>
  <c r="E225" i="6"/>
  <c r="D225" i="6"/>
  <c r="C225" i="6"/>
  <c r="AD224" i="6"/>
  <c r="AC224" i="6"/>
  <c r="AB224" i="6"/>
  <c r="T224" i="6"/>
  <c r="S224" i="6"/>
  <c r="R224" i="6"/>
  <c r="E224" i="6"/>
  <c r="D224" i="6"/>
  <c r="C224" i="6"/>
  <c r="AQ223" i="6"/>
  <c r="AL223" i="6"/>
  <c r="AI223" i="6"/>
  <c r="AH223" i="6"/>
  <c r="AG223" i="6"/>
  <c r="W223" i="6"/>
  <c r="T223" i="6"/>
  <c r="S223" i="6"/>
  <c r="R223" i="6"/>
  <c r="O223" i="6"/>
  <c r="N223" i="6"/>
  <c r="M223" i="6"/>
  <c r="J223" i="6"/>
  <c r="I223" i="6"/>
  <c r="H223" i="6"/>
  <c r="E223" i="6"/>
  <c r="D223" i="6"/>
  <c r="C223" i="6"/>
  <c r="BC222" i="6"/>
  <c r="BB222" i="6"/>
  <c r="BA222" i="6"/>
  <c r="AN222" i="6"/>
  <c r="AM222" i="6"/>
  <c r="AL222" i="6"/>
  <c r="AI222" i="6"/>
  <c r="AH222" i="6"/>
  <c r="AG222" i="6"/>
  <c r="AD222" i="6"/>
  <c r="AC222" i="6"/>
  <c r="AB222" i="6"/>
  <c r="Y222" i="6"/>
  <c r="X222" i="6"/>
  <c r="W222" i="6"/>
  <c r="T222" i="6"/>
  <c r="S222" i="6"/>
  <c r="R222" i="6"/>
  <c r="O222" i="6"/>
  <c r="N222" i="6"/>
  <c r="M222" i="6"/>
  <c r="J222" i="6"/>
  <c r="I222" i="6"/>
  <c r="H222" i="6"/>
  <c r="E222" i="6"/>
  <c r="D222" i="6"/>
  <c r="C222" i="6"/>
  <c r="BC221" i="6"/>
  <c r="BB221" i="6"/>
  <c r="BA221" i="6"/>
  <c r="AD221" i="6"/>
  <c r="AC221" i="6"/>
  <c r="AB221" i="6"/>
  <c r="T221" i="6"/>
  <c r="S221" i="6"/>
  <c r="R221" i="6"/>
  <c r="E221" i="6"/>
  <c r="D221" i="6"/>
  <c r="C221" i="6"/>
  <c r="BH220" i="6"/>
  <c r="BG220" i="6"/>
  <c r="BF220" i="6"/>
  <c r="AN220" i="6"/>
  <c r="AM220" i="6"/>
  <c r="AL220" i="6"/>
  <c r="AI220" i="6"/>
  <c r="AH220" i="6"/>
  <c r="AG220" i="6"/>
  <c r="AD220" i="6"/>
  <c r="AC220" i="6"/>
  <c r="AB220" i="6"/>
  <c r="Y220" i="6"/>
  <c r="X220" i="6"/>
  <c r="T220" i="6"/>
  <c r="S220" i="6"/>
  <c r="R220" i="6"/>
  <c r="O220" i="6"/>
  <c r="N220" i="6"/>
  <c r="M220" i="6"/>
  <c r="J220" i="6"/>
  <c r="I220" i="6"/>
  <c r="H220" i="6"/>
  <c r="E220" i="6"/>
  <c r="D220" i="6"/>
  <c r="C220" i="6"/>
  <c r="AV218" i="6"/>
  <c r="AN218" i="6"/>
  <c r="AM218" i="6"/>
  <c r="AL218" i="6"/>
  <c r="AI218" i="6"/>
  <c r="AH218" i="6"/>
  <c r="AG218" i="6"/>
  <c r="T218" i="6"/>
  <c r="S218" i="6"/>
  <c r="R218" i="6"/>
  <c r="O218" i="6"/>
  <c r="N218" i="6"/>
  <c r="M218" i="6"/>
  <c r="J218" i="6"/>
  <c r="I218" i="6"/>
  <c r="H218" i="6"/>
  <c r="E218" i="6"/>
  <c r="D218" i="6"/>
  <c r="C218" i="6"/>
  <c r="AN215" i="6"/>
  <c r="AM215" i="6"/>
  <c r="AL215" i="6"/>
  <c r="AI215" i="6"/>
  <c r="AH215" i="6"/>
  <c r="AG215" i="6"/>
  <c r="Y215" i="6"/>
  <c r="X215" i="6"/>
  <c r="W215" i="6"/>
  <c r="T215" i="6"/>
  <c r="S215" i="6"/>
  <c r="R215" i="6"/>
  <c r="O215" i="6"/>
  <c r="N215" i="6"/>
  <c r="M215" i="6"/>
  <c r="J215" i="6"/>
  <c r="I215" i="6"/>
  <c r="H215" i="6"/>
  <c r="E215" i="6"/>
  <c r="D215" i="6"/>
  <c r="C215" i="6"/>
  <c r="BH214" i="6"/>
  <c r="BG214" i="6"/>
  <c r="BF214" i="6"/>
  <c r="BC214" i="6"/>
  <c r="BB214" i="6"/>
  <c r="BA214" i="6"/>
  <c r="AS214" i="6"/>
  <c r="AR214" i="6"/>
  <c r="AQ214" i="6"/>
  <c r="AN214" i="6"/>
  <c r="AM214" i="6"/>
  <c r="AL214" i="6"/>
  <c r="AI214" i="6"/>
  <c r="AH214" i="6"/>
  <c r="AG214" i="6"/>
  <c r="AD214" i="6"/>
  <c r="AC214" i="6"/>
  <c r="AB214" i="6"/>
  <c r="Y214" i="6"/>
  <c r="X214" i="6"/>
  <c r="W214" i="6"/>
  <c r="T214" i="6"/>
  <c r="S214" i="6"/>
  <c r="R214" i="6"/>
  <c r="O214" i="6"/>
  <c r="N214" i="6"/>
  <c r="M214" i="6"/>
  <c r="J214" i="6"/>
  <c r="I214" i="6"/>
  <c r="H214" i="6"/>
  <c r="E214" i="6"/>
  <c r="D214" i="6"/>
  <c r="C214" i="6"/>
  <c r="BC213" i="6"/>
  <c r="BB213" i="6"/>
  <c r="BA213" i="6"/>
  <c r="AD213" i="6"/>
  <c r="AC213" i="6"/>
  <c r="AB213" i="6"/>
  <c r="T213" i="6"/>
  <c r="S213" i="6"/>
  <c r="R213" i="6"/>
  <c r="E213" i="6"/>
  <c r="D213" i="6"/>
  <c r="C213" i="6"/>
  <c r="BC212" i="6"/>
  <c r="BB212" i="6"/>
  <c r="BA212" i="6"/>
  <c r="AX212" i="6"/>
  <c r="AW212" i="6"/>
  <c r="AV212" i="6"/>
  <c r="AS212" i="6"/>
  <c r="AR212" i="6"/>
  <c r="AQ212" i="6"/>
  <c r="AN212" i="6"/>
  <c r="AM212" i="6"/>
  <c r="AL212" i="6"/>
  <c r="AI212" i="6"/>
  <c r="AH212" i="6"/>
  <c r="AG212" i="6"/>
  <c r="AD212" i="6"/>
  <c r="AC212" i="6"/>
  <c r="AB212" i="6"/>
  <c r="Y212" i="6"/>
  <c r="X212" i="6"/>
  <c r="W212" i="6"/>
  <c r="T212" i="6"/>
  <c r="S212" i="6"/>
  <c r="R212" i="6"/>
  <c r="O212" i="6"/>
  <c r="N212" i="6"/>
  <c r="M212" i="6"/>
  <c r="J212" i="6"/>
  <c r="I212" i="6"/>
  <c r="H212" i="6"/>
  <c r="E212" i="6"/>
  <c r="D212" i="6"/>
  <c r="C212" i="6"/>
  <c r="AS211" i="6"/>
  <c r="AR211" i="6"/>
  <c r="AQ211" i="6"/>
  <c r="AN211" i="6"/>
  <c r="AM211" i="6"/>
  <c r="AL211" i="6"/>
  <c r="AI211" i="6"/>
  <c r="AH211" i="6"/>
  <c r="AG211" i="6"/>
  <c r="AB211" i="6"/>
  <c r="O211" i="6"/>
  <c r="N211" i="6"/>
  <c r="M211" i="6"/>
  <c r="J211" i="6"/>
  <c r="I211" i="6"/>
  <c r="H211" i="6"/>
  <c r="E211" i="6"/>
  <c r="D211" i="6"/>
  <c r="C211" i="6"/>
  <c r="BB210" i="6"/>
  <c r="AS210" i="6"/>
  <c r="AR210" i="6"/>
  <c r="AQ210" i="6"/>
  <c r="AN210" i="6"/>
  <c r="AM210" i="6"/>
  <c r="AL210" i="6"/>
  <c r="AI210" i="6"/>
  <c r="AH210" i="6"/>
  <c r="AG210" i="6"/>
  <c r="AD210" i="6"/>
  <c r="AC210" i="6"/>
  <c r="AB210" i="6"/>
  <c r="Y210" i="6"/>
  <c r="X210" i="6"/>
  <c r="W210" i="6"/>
  <c r="T210" i="6"/>
  <c r="S210" i="6"/>
  <c r="R210" i="6"/>
  <c r="O210" i="6"/>
  <c r="N210" i="6"/>
  <c r="M210" i="6"/>
  <c r="J210" i="6"/>
  <c r="I210" i="6"/>
  <c r="H210" i="6"/>
  <c r="E210" i="6"/>
  <c r="D210" i="6"/>
  <c r="C210" i="6"/>
  <c r="AN208" i="6"/>
  <c r="AM208" i="6"/>
  <c r="AL208" i="6"/>
  <c r="AI208" i="6"/>
  <c r="AH208" i="6"/>
  <c r="AG208" i="6"/>
  <c r="Y208" i="6"/>
  <c r="X208" i="6"/>
  <c r="W208" i="6"/>
  <c r="O208" i="6"/>
  <c r="N208" i="6"/>
  <c r="M208" i="6"/>
  <c r="J208" i="6"/>
  <c r="I208" i="6"/>
  <c r="H208" i="6"/>
  <c r="E208" i="6"/>
  <c r="D208" i="6"/>
  <c r="C208" i="6"/>
  <c r="BH205" i="6"/>
  <c r="BG205" i="6"/>
  <c r="BC205" i="6"/>
  <c r="BB205" i="6"/>
  <c r="BA205" i="6"/>
  <c r="AX205" i="6"/>
  <c r="AS205" i="6"/>
  <c r="AR205" i="6"/>
  <c r="AQ205" i="6"/>
  <c r="AN205" i="6"/>
  <c r="AM205" i="6"/>
  <c r="AL205" i="6"/>
  <c r="AI205" i="6"/>
  <c r="AH205" i="6"/>
  <c r="AG205" i="6"/>
  <c r="AD205" i="6"/>
  <c r="AC205" i="6"/>
  <c r="AB205" i="6"/>
  <c r="Y205" i="6"/>
  <c r="X205" i="6"/>
  <c r="W205" i="6"/>
  <c r="T205" i="6"/>
  <c r="S205" i="6"/>
  <c r="R205" i="6"/>
  <c r="O205" i="6"/>
  <c r="N205" i="6"/>
  <c r="M205" i="6"/>
  <c r="J205" i="6"/>
  <c r="I205" i="6"/>
  <c r="H205" i="6"/>
  <c r="D205" i="6"/>
  <c r="C205" i="6"/>
  <c r="BA204" i="6"/>
  <c r="AL204" i="6"/>
  <c r="AI204" i="6"/>
  <c r="AH204" i="6"/>
  <c r="AG204" i="6"/>
  <c r="AD204" i="6"/>
  <c r="AC204" i="6"/>
  <c r="AB204" i="6"/>
  <c r="T204" i="6"/>
  <c r="S204" i="6"/>
  <c r="R204" i="6"/>
  <c r="O204" i="6"/>
  <c r="N204" i="6"/>
  <c r="M204" i="6"/>
  <c r="J204" i="6"/>
  <c r="I204" i="6"/>
  <c r="H204" i="6"/>
  <c r="D204" i="6"/>
  <c r="C204" i="6"/>
  <c r="BC203" i="6"/>
  <c r="BB203" i="6"/>
  <c r="BA203" i="6"/>
  <c r="AS203" i="6"/>
  <c r="AR203" i="6"/>
  <c r="AQ203" i="6"/>
  <c r="AN203" i="6"/>
  <c r="AM203" i="6"/>
  <c r="AL203" i="6"/>
  <c r="AI203" i="6"/>
  <c r="AH203" i="6"/>
  <c r="AG203" i="6"/>
  <c r="AD203" i="6"/>
  <c r="AC203" i="6"/>
  <c r="AB203" i="6"/>
  <c r="Y203" i="6"/>
  <c r="X203" i="6"/>
  <c r="W203" i="6"/>
  <c r="T203" i="6"/>
  <c r="S203" i="6"/>
  <c r="R203" i="6"/>
  <c r="O203" i="6"/>
  <c r="N203" i="6"/>
  <c r="M203" i="6"/>
  <c r="J203" i="6"/>
  <c r="I203" i="6"/>
  <c r="H203" i="6"/>
  <c r="D203" i="6"/>
  <c r="C203" i="6"/>
  <c r="BB202" i="6"/>
  <c r="AX202" i="6"/>
  <c r="AV202" i="6"/>
  <c r="AS202" i="6"/>
  <c r="AR202" i="6"/>
  <c r="AQ202" i="6"/>
  <c r="AN202" i="6"/>
  <c r="AM202" i="6"/>
  <c r="AL202" i="6"/>
  <c r="AI202" i="6"/>
  <c r="AH202" i="6"/>
  <c r="AG202" i="6"/>
  <c r="AD202" i="6"/>
  <c r="AC202" i="6"/>
  <c r="AB202" i="6"/>
  <c r="Y202" i="6"/>
  <c r="X202" i="6"/>
  <c r="W202" i="6"/>
  <c r="T202" i="6"/>
  <c r="S202" i="6"/>
  <c r="R202" i="6"/>
  <c r="O202" i="6"/>
  <c r="N202" i="6"/>
  <c r="M202" i="6"/>
  <c r="J202" i="6"/>
  <c r="I202" i="6"/>
  <c r="H202" i="6"/>
  <c r="D202" i="6"/>
  <c r="C202" i="6"/>
  <c r="AQ200" i="6"/>
  <c r="AN200" i="6"/>
  <c r="AM200" i="6"/>
  <c r="AL200" i="6"/>
  <c r="AI200" i="6"/>
  <c r="AH200" i="6"/>
  <c r="AG200" i="6"/>
  <c r="AD200" i="6"/>
  <c r="AC200" i="6"/>
  <c r="AB200" i="6"/>
  <c r="W200" i="6"/>
  <c r="T200" i="6"/>
  <c r="S200" i="6"/>
  <c r="R200" i="6"/>
  <c r="O200" i="6"/>
  <c r="N200" i="6"/>
  <c r="M200" i="6"/>
  <c r="J200" i="6"/>
  <c r="I200" i="6"/>
  <c r="H200" i="6"/>
  <c r="E200" i="6"/>
  <c r="D200" i="6"/>
  <c r="C200" i="6"/>
  <c r="BC199" i="6"/>
  <c r="BB199" i="6"/>
  <c r="BA199" i="6"/>
  <c r="AX199" i="6"/>
  <c r="AV199" i="6"/>
  <c r="AS199" i="6"/>
  <c r="AR199" i="6"/>
  <c r="AQ199" i="6"/>
  <c r="AN199" i="6"/>
  <c r="AM199" i="6"/>
  <c r="AL199" i="6"/>
  <c r="AI199" i="6"/>
  <c r="AH199" i="6"/>
  <c r="AG199" i="6"/>
  <c r="AD199" i="6"/>
  <c r="AC199" i="6"/>
  <c r="AB199" i="6"/>
  <c r="Y199" i="6"/>
  <c r="X199" i="6"/>
  <c r="W199" i="6"/>
  <c r="T199" i="6"/>
  <c r="S199" i="6"/>
  <c r="R199" i="6"/>
  <c r="O199" i="6"/>
  <c r="N199" i="6"/>
  <c r="M199" i="6"/>
  <c r="J199" i="6"/>
  <c r="I199" i="6"/>
  <c r="H199" i="6"/>
  <c r="E199" i="6"/>
  <c r="D199" i="6"/>
  <c r="C199" i="6"/>
  <c r="AQ198" i="6"/>
  <c r="AN198" i="6"/>
  <c r="AM198" i="6"/>
  <c r="AL198" i="6"/>
  <c r="AI198" i="6"/>
  <c r="AH198" i="6"/>
  <c r="AG198" i="6"/>
  <c r="Y198" i="6"/>
  <c r="X198" i="6"/>
  <c r="W198" i="6"/>
  <c r="T198" i="6"/>
  <c r="S198" i="6"/>
  <c r="R198" i="6"/>
  <c r="O198" i="6"/>
  <c r="N198" i="6"/>
  <c r="M198" i="6"/>
  <c r="J198" i="6"/>
  <c r="I198" i="6"/>
  <c r="H198" i="6"/>
  <c r="E198" i="6"/>
  <c r="D198" i="6"/>
  <c r="C198" i="6"/>
  <c r="BH196" i="6"/>
  <c r="BG196" i="6"/>
  <c r="BF196" i="6"/>
  <c r="BC196" i="6"/>
  <c r="BB196" i="6"/>
  <c r="BA196" i="6"/>
  <c r="AD196" i="6"/>
  <c r="AC196" i="6"/>
  <c r="AB196" i="6"/>
  <c r="T196" i="6"/>
  <c r="S196" i="6"/>
  <c r="R196" i="6"/>
  <c r="E196" i="6"/>
  <c r="D196" i="6"/>
  <c r="C196" i="6"/>
  <c r="AN195" i="6"/>
  <c r="AM195" i="6"/>
  <c r="AL195" i="6"/>
  <c r="AI195" i="6"/>
  <c r="AH195" i="6"/>
  <c r="AG195" i="6"/>
  <c r="Y195" i="6"/>
  <c r="X195" i="6"/>
  <c r="W195" i="6"/>
  <c r="T195" i="6"/>
  <c r="S195" i="6"/>
  <c r="R195" i="6"/>
  <c r="O195" i="6"/>
  <c r="N195" i="6"/>
  <c r="M195" i="6"/>
  <c r="J195" i="6"/>
  <c r="I195" i="6"/>
  <c r="H195" i="6"/>
  <c r="D195" i="6"/>
  <c r="C195" i="6"/>
  <c r="AN193" i="6"/>
  <c r="AM193" i="6"/>
  <c r="AL193" i="6"/>
  <c r="AI193" i="6"/>
  <c r="AH193" i="6"/>
  <c r="AG193" i="6"/>
  <c r="X193" i="6"/>
  <c r="W193" i="6"/>
  <c r="O193" i="6"/>
  <c r="N193" i="6"/>
  <c r="M193" i="6"/>
  <c r="J193" i="6"/>
  <c r="I193" i="6"/>
  <c r="E193" i="6"/>
  <c r="D193" i="6"/>
  <c r="C193" i="6"/>
  <c r="AN192" i="6"/>
  <c r="AM192" i="6"/>
  <c r="AI192" i="6"/>
  <c r="AH192" i="6"/>
  <c r="AG192" i="6"/>
  <c r="Y192" i="6"/>
  <c r="X192" i="6"/>
  <c r="W192" i="6"/>
  <c r="T192" i="6"/>
  <c r="S192" i="6"/>
  <c r="J192" i="6"/>
  <c r="I192" i="6"/>
  <c r="AI191" i="6"/>
  <c r="AH191" i="6"/>
  <c r="AG191" i="6"/>
  <c r="J191" i="6"/>
  <c r="I191" i="6"/>
  <c r="H191" i="6"/>
  <c r="E191" i="6"/>
  <c r="D191" i="6"/>
  <c r="C191" i="6"/>
  <c r="AL190" i="6"/>
  <c r="AI190" i="6"/>
  <c r="AH190" i="6"/>
  <c r="AG190" i="6"/>
  <c r="AC190" i="6"/>
  <c r="AB190" i="6"/>
  <c r="W190" i="6"/>
  <c r="O190" i="6"/>
  <c r="N190" i="6"/>
  <c r="M190" i="6"/>
  <c r="J190" i="6"/>
  <c r="I190" i="6"/>
  <c r="H190" i="6"/>
  <c r="E190" i="6"/>
  <c r="D190" i="6"/>
  <c r="C190" i="6"/>
  <c r="AI187" i="6"/>
  <c r="AH187" i="6"/>
  <c r="AG187" i="6"/>
  <c r="T187" i="6"/>
  <c r="S187" i="6"/>
  <c r="R187" i="6"/>
  <c r="O187" i="6"/>
  <c r="N187" i="6"/>
  <c r="M187" i="6"/>
  <c r="H187" i="6"/>
  <c r="E187" i="6"/>
  <c r="D187" i="6"/>
  <c r="C187" i="6"/>
  <c r="BH186" i="6"/>
  <c r="BG186" i="6"/>
  <c r="BF186" i="6"/>
  <c r="BC186" i="6"/>
  <c r="BB186" i="6"/>
  <c r="BA186" i="6"/>
  <c r="AQ186" i="6"/>
  <c r="AL186" i="6"/>
  <c r="AI186" i="6"/>
  <c r="AH186" i="6"/>
  <c r="AG186" i="6"/>
  <c r="AD186" i="6"/>
  <c r="AC186" i="6"/>
  <c r="AB186" i="6"/>
  <c r="W186" i="6"/>
  <c r="T186" i="6"/>
  <c r="S186" i="6"/>
  <c r="R186" i="6"/>
  <c r="O186" i="6"/>
  <c r="N186" i="6"/>
  <c r="M186" i="6"/>
  <c r="J186" i="6"/>
  <c r="I186" i="6"/>
  <c r="H186" i="6"/>
  <c r="E186" i="6"/>
  <c r="D186" i="6"/>
  <c r="C186" i="6"/>
  <c r="AX184" i="6"/>
  <c r="AQ184" i="6"/>
  <c r="AN184" i="6"/>
  <c r="AM184" i="6"/>
  <c r="AL184" i="6"/>
  <c r="AI184" i="6"/>
  <c r="AH184" i="6"/>
  <c r="AG184" i="6"/>
  <c r="Y184" i="6"/>
  <c r="X184" i="6"/>
  <c r="W184" i="6"/>
  <c r="T184" i="6"/>
  <c r="S184" i="6"/>
  <c r="R184" i="6"/>
  <c r="O184" i="6"/>
  <c r="N184" i="6"/>
  <c r="M184" i="6"/>
  <c r="J184" i="6"/>
  <c r="I184" i="6"/>
  <c r="H184" i="6"/>
  <c r="E184" i="6"/>
  <c r="D184" i="6"/>
  <c r="C184" i="6"/>
  <c r="BA183" i="6"/>
  <c r="AQ183" i="6"/>
  <c r="AN183" i="6"/>
  <c r="AM183" i="6"/>
  <c r="AL183" i="6"/>
  <c r="AI183" i="6"/>
  <c r="AH183" i="6"/>
  <c r="AG183" i="6"/>
  <c r="W183" i="6"/>
  <c r="T183" i="6"/>
  <c r="S183" i="6"/>
  <c r="R183" i="6"/>
  <c r="O183" i="6"/>
  <c r="N183" i="6"/>
  <c r="M183" i="6"/>
  <c r="J183" i="6"/>
  <c r="I183" i="6"/>
  <c r="H183" i="6"/>
  <c r="E183" i="6"/>
  <c r="D183" i="6"/>
  <c r="C183" i="6"/>
  <c r="AI182" i="6"/>
  <c r="AH182" i="6"/>
  <c r="AG182" i="6"/>
  <c r="Y182" i="6"/>
  <c r="X182" i="6"/>
  <c r="W182" i="6"/>
  <c r="T182" i="6"/>
  <c r="S182" i="6"/>
  <c r="R182" i="6"/>
  <c r="H182" i="6"/>
  <c r="AS181" i="6"/>
  <c r="AR181" i="6"/>
  <c r="AQ181" i="6"/>
  <c r="AN181" i="6"/>
  <c r="AM181" i="6"/>
  <c r="AL181" i="6"/>
  <c r="AI181" i="6"/>
  <c r="AH181" i="6"/>
  <c r="AG181" i="6"/>
  <c r="Y181" i="6"/>
  <c r="X181" i="6"/>
  <c r="W181" i="6"/>
  <c r="T181" i="6"/>
  <c r="S181" i="6"/>
  <c r="R181" i="6"/>
  <c r="O181" i="6"/>
  <c r="N181" i="6"/>
  <c r="M181" i="6"/>
  <c r="J181" i="6"/>
  <c r="I181" i="6"/>
  <c r="H181" i="6"/>
  <c r="BC180" i="6"/>
  <c r="BB180" i="6"/>
  <c r="BA180" i="6"/>
  <c r="AD180" i="6"/>
  <c r="AC180" i="6"/>
  <c r="AB180" i="6"/>
  <c r="T180" i="6"/>
  <c r="S180" i="6"/>
  <c r="R180" i="6"/>
  <c r="O180" i="6"/>
  <c r="E180" i="6"/>
  <c r="D180" i="6"/>
  <c r="C180" i="6"/>
  <c r="AN179" i="6"/>
  <c r="AM179" i="6"/>
  <c r="AL179" i="6"/>
  <c r="AI179" i="6"/>
  <c r="AH179" i="6"/>
  <c r="AG179" i="6"/>
  <c r="Y179" i="6"/>
  <c r="X179" i="6"/>
  <c r="T179" i="6"/>
  <c r="S179" i="6"/>
  <c r="R179" i="6"/>
  <c r="O179" i="6"/>
  <c r="N179" i="6"/>
  <c r="M179" i="6"/>
  <c r="J179" i="6"/>
  <c r="I179" i="6"/>
  <c r="H179" i="6"/>
  <c r="D179" i="6"/>
  <c r="C179" i="6"/>
  <c r="AS178" i="6"/>
  <c r="AR178" i="6"/>
  <c r="AQ178" i="6"/>
  <c r="AL178" i="6"/>
  <c r="AI178" i="6"/>
  <c r="AH178" i="6"/>
  <c r="AG178" i="6"/>
  <c r="AD178" i="6"/>
  <c r="AC178" i="6"/>
  <c r="AB178" i="6"/>
  <c r="Y178" i="6"/>
  <c r="X178" i="6"/>
  <c r="W178" i="6"/>
  <c r="T178" i="6"/>
  <c r="S178" i="6"/>
  <c r="R178" i="6"/>
  <c r="O178" i="6"/>
  <c r="N178" i="6"/>
  <c r="M178" i="6"/>
  <c r="J178" i="6"/>
  <c r="I178" i="6"/>
  <c r="H178" i="6"/>
  <c r="E178" i="6"/>
  <c r="D178" i="6"/>
  <c r="C178" i="6"/>
  <c r="BC177" i="6"/>
  <c r="BB177" i="6"/>
  <c r="BA177" i="6"/>
  <c r="AX177" i="6"/>
  <c r="AW177" i="6"/>
  <c r="AV177" i="6"/>
  <c r="AS177" i="6"/>
  <c r="AR177" i="6"/>
  <c r="AQ177" i="6"/>
  <c r="AN177" i="6"/>
  <c r="AM177" i="6"/>
  <c r="AL177" i="6"/>
  <c r="AI177" i="6"/>
  <c r="AH177" i="6"/>
  <c r="AG177" i="6"/>
  <c r="AD177" i="6"/>
  <c r="AC177" i="6"/>
  <c r="AB177" i="6"/>
  <c r="Y177" i="6"/>
  <c r="X177" i="6"/>
  <c r="W177" i="6"/>
  <c r="T177" i="6"/>
  <c r="S177" i="6"/>
  <c r="R177" i="6"/>
  <c r="O177" i="6"/>
  <c r="N177" i="6"/>
  <c r="M177" i="6"/>
  <c r="J177" i="6"/>
  <c r="I177" i="6"/>
  <c r="H177" i="6"/>
  <c r="E177" i="6"/>
  <c r="D177" i="6"/>
  <c r="C177" i="6"/>
  <c r="BC176" i="6"/>
  <c r="BB176" i="6"/>
  <c r="AX176" i="6"/>
  <c r="AN176" i="6"/>
  <c r="AM176" i="6"/>
  <c r="AL176" i="6"/>
  <c r="AI176" i="6"/>
  <c r="AH176" i="6"/>
  <c r="AG176" i="6"/>
  <c r="W176" i="6"/>
  <c r="T176" i="6"/>
  <c r="S176" i="6"/>
  <c r="R176" i="6"/>
  <c r="O176" i="6"/>
  <c r="N176" i="6"/>
  <c r="M176" i="6"/>
  <c r="J176" i="6"/>
  <c r="I176" i="6"/>
  <c r="H176" i="6"/>
  <c r="E176" i="6"/>
  <c r="D176" i="6"/>
  <c r="C176" i="6"/>
  <c r="BC175" i="6"/>
  <c r="BB175" i="6"/>
  <c r="BA175" i="6"/>
  <c r="AS175" i="6"/>
  <c r="AR175" i="6"/>
  <c r="AN175" i="6"/>
  <c r="AM175" i="6"/>
  <c r="AL175" i="6"/>
  <c r="AI175" i="6"/>
  <c r="AH175" i="6"/>
  <c r="AG175" i="6"/>
  <c r="AD175" i="6"/>
  <c r="AC175" i="6"/>
  <c r="AB175" i="6"/>
  <c r="Y175" i="6"/>
  <c r="X175" i="6"/>
  <c r="W175" i="6"/>
  <c r="T175" i="6"/>
  <c r="S175" i="6"/>
  <c r="R175" i="6"/>
  <c r="O175" i="6"/>
  <c r="N175" i="6"/>
  <c r="M175" i="6"/>
  <c r="J175" i="6"/>
  <c r="I175" i="6"/>
  <c r="H175" i="6"/>
  <c r="E175" i="6"/>
  <c r="D175" i="6"/>
  <c r="C175" i="6"/>
  <c r="AX174" i="6"/>
  <c r="AN174" i="6"/>
  <c r="AM174" i="6"/>
  <c r="AL174" i="6"/>
  <c r="AI174" i="6"/>
  <c r="AH174" i="6"/>
  <c r="AG174" i="6"/>
  <c r="AC174" i="6"/>
  <c r="Y174" i="6"/>
  <c r="W174" i="6"/>
  <c r="T174" i="6"/>
  <c r="S174" i="6"/>
  <c r="R174" i="6"/>
  <c r="O174" i="6"/>
  <c r="N174" i="6"/>
  <c r="M174" i="6"/>
  <c r="J174" i="6"/>
  <c r="I174" i="6"/>
  <c r="H174" i="6"/>
  <c r="E174" i="6"/>
  <c r="D174" i="6"/>
  <c r="C174" i="6"/>
  <c r="BH173" i="6"/>
  <c r="BG173" i="6"/>
  <c r="BF173" i="6"/>
  <c r="BC173" i="6"/>
  <c r="BB173" i="6"/>
  <c r="BA173" i="6"/>
  <c r="AX173" i="6"/>
  <c r="AW173" i="6"/>
  <c r="AV173" i="6"/>
  <c r="AS173" i="6"/>
  <c r="AR173" i="6"/>
  <c r="AQ173" i="6"/>
  <c r="AN173" i="6"/>
  <c r="AM173" i="6"/>
  <c r="AL173" i="6"/>
  <c r="AI173" i="6"/>
  <c r="AH173" i="6"/>
  <c r="AG173" i="6"/>
  <c r="AD173" i="6"/>
  <c r="AC173" i="6"/>
  <c r="AB173" i="6"/>
  <c r="Y173" i="6"/>
  <c r="X173" i="6"/>
  <c r="W173" i="6"/>
  <c r="T173" i="6"/>
  <c r="S173" i="6"/>
  <c r="R173" i="6"/>
  <c r="O173" i="6"/>
  <c r="N173" i="6"/>
  <c r="M173" i="6"/>
  <c r="J173" i="6"/>
  <c r="I173" i="6"/>
  <c r="H173" i="6"/>
  <c r="E173" i="6"/>
  <c r="D173" i="6"/>
  <c r="C173" i="6"/>
  <c r="BC172" i="6"/>
  <c r="BB172" i="6"/>
  <c r="BA172" i="6"/>
  <c r="AI172" i="6"/>
  <c r="AD172" i="6"/>
  <c r="AC172" i="6"/>
  <c r="AB172" i="6"/>
  <c r="T172" i="6"/>
  <c r="S172" i="6"/>
  <c r="R172" i="6"/>
  <c r="E171" i="6"/>
  <c r="D171" i="6"/>
  <c r="C171" i="6"/>
  <c r="AI170" i="6"/>
  <c r="AH170" i="6"/>
  <c r="AG170" i="6"/>
  <c r="S170" i="6"/>
  <c r="R170" i="6"/>
  <c r="O170" i="6"/>
  <c r="N170" i="6"/>
  <c r="M170" i="6"/>
  <c r="J170" i="6"/>
  <c r="I170" i="6"/>
  <c r="H170" i="6"/>
  <c r="E170" i="6"/>
  <c r="BC169" i="6"/>
  <c r="BB169" i="6"/>
  <c r="BA169" i="6"/>
  <c r="AD169" i="6"/>
  <c r="AC169" i="6"/>
  <c r="AB169" i="6"/>
  <c r="T169" i="6"/>
  <c r="S169" i="6"/>
  <c r="R169" i="6"/>
  <c r="AS168" i="6"/>
  <c r="AR168" i="6"/>
  <c r="AQ168" i="6"/>
  <c r="AN168" i="6"/>
  <c r="AM168" i="6"/>
  <c r="AL168" i="6"/>
  <c r="AI168" i="6"/>
  <c r="AH168" i="6"/>
  <c r="AG168" i="6"/>
  <c r="AD168" i="6"/>
  <c r="AC168" i="6"/>
  <c r="AB168" i="6"/>
  <c r="Y168" i="6"/>
  <c r="X168" i="6"/>
  <c r="W168" i="6"/>
  <c r="T168" i="6"/>
  <c r="S168" i="6"/>
  <c r="R168" i="6"/>
  <c r="O168" i="6"/>
  <c r="N168" i="6"/>
  <c r="M168" i="6"/>
  <c r="J168" i="6"/>
  <c r="I168" i="6"/>
  <c r="H168" i="6"/>
  <c r="E168" i="6"/>
  <c r="D168" i="6"/>
  <c r="C168" i="6"/>
  <c r="AS167" i="6"/>
  <c r="AR167" i="6"/>
  <c r="AN167" i="6"/>
  <c r="AM167" i="6"/>
  <c r="AL167" i="6"/>
  <c r="AI167" i="6"/>
  <c r="AH167" i="6"/>
  <c r="AG167" i="6"/>
  <c r="AD167" i="6"/>
  <c r="AC167" i="6"/>
  <c r="Y167" i="6"/>
  <c r="X167" i="6"/>
  <c r="W167" i="6"/>
  <c r="T167" i="6"/>
  <c r="S167" i="6"/>
  <c r="R167" i="6"/>
  <c r="O167" i="6"/>
  <c r="N167" i="6"/>
  <c r="M167" i="6"/>
  <c r="J167" i="6"/>
  <c r="I167" i="6"/>
  <c r="H167" i="6"/>
  <c r="E167" i="6"/>
  <c r="D167" i="6"/>
  <c r="C167" i="6"/>
  <c r="AN166" i="6"/>
  <c r="AM166" i="6"/>
  <c r="AL166" i="6"/>
  <c r="AI166" i="6"/>
  <c r="AH166" i="6"/>
  <c r="AG166" i="6"/>
  <c r="AD166" i="6"/>
  <c r="AC166" i="6"/>
  <c r="Y166" i="6"/>
  <c r="X166" i="6"/>
  <c r="W166" i="6"/>
  <c r="T166" i="6"/>
  <c r="S166" i="6"/>
  <c r="R166" i="6"/>
  <c r="O166" i="6"/>
  <c r="N166" i="6"/>
  <c r="M166" i="6"/>
  <c r="J166" i="6"/>
  <c r="I166" i="6"/>
  <c r="H166" i="6"/>
  <c r="E166" i="6"/>
  <c r="D166" i="6"/>
  <c r="C166" i="6"/>
  <c r="AI165" i="6"/>
  <c r="AH165" i="6"/>
  <c r="AG165" i="6"/>
  <c r="T165" i="6"/>
  <c r="S165" i="6"/>
  <c r="R165" i="6"/>
  <c r="O165" i="6"/>
  <c r="N165" i="6"/>
  <c r="M165" i="6"/>
  <c r="J165" i="6"/>
  <c r="I165" i="6"/>
  <c r="H165" i="6"/>
  <c r="C165" i="6"/>
  <c r="BC164" i="6"/>
  <c r="BB164" i="6"/>
  <c r="BA164" i="6"/>
  <c r="AN164" i="6"/>
  <c r="AM164" i="6"/>
  <c r="AL164" i="6"/>
  <c r="AI164" i="6"/>
  <c r="AH164" i="6"/>
  <c r="AG164" i="6"/>
  <c r="AD164" i="6"/>
  <c r="AC164" i="6"/>
  <c r="AB164" i="6"/>
  <c r="Y164" i="6"/>
  <c r="X164" i="6"/>
  <c r="W164" i="6"/>
  <c r="T164" i="6"/>
  <c r="S164" i="6"/>
  <c r="R164" i="6"/>
  <c r="O164" i="6"/>
  <c r="N164" i="6"/>
  <c r="M164" i="6"/>
  <c r="J164" i="6"/>
  <c r="I164" i="6"/>
  <c r="H164" i="6"/>
  <c r="E164" i="6"/>
  <c r="D164" i="6"/>
  <c r="C164" i="6"/>
  <c r="BC163" i="6"/>
  <c r="BB163" i="6"/>
  <c r="BA163" i="6"/>
  <c r="AS163" i="6"/>
  <c r="AR163" i="6"/>
  <c r="AN163" i="6"/>
  <c r="AM163" i="6"/>
  <c r="AL163" i="6"/>
  <c r="AI163" i="6"/>
  <c r="AH163" i="6"/>
  <c r="AG163" i="6"/>
  <c r="AD163" i="6"/>
  <c r="AC163" i="6"/>
  <c r="AB163" i="6"/>
  <c r="Y163" i="6"/>
  <c r="X163" i="6"/>
  <c r="W163" i="6"/>
  <c r="T163" i="6"/>
  <c r="S163" i="6"/>
  <c r="R163" i="6"/>
  <c r="O163" i="6"/>
  <c r="N163" i="6"/>
  <c r="M163" i="6"/>
  <c r="J163" i="6"/>
  <c r="I163" i="6"/>
  <c r="H163" i="6"/>
  <c r="E163" i="6"/>
  <c r="D163" i="6"/>
  <c r="C163" i="6"/>
  <c r="BB162" i="6"/>
  <c r="BA162" i="6"/>
  <c r="AS162" i="6"/>
  <c r="AR162" i="6"/>
  <c r="AN162" i="6"/>
  <c r="AM162" i="6"/>
  <c r="AL162" i="6"/>
  <c r="AI162" i="6"/>
  <c r="AH162" i="6"/>
  <c r="AG162" i="6"/>
  <c r="AD162" i="6"/>
  <c r="AC162" i="6"/>
  <c r="AB162" i="6"/>
  <c r="Y162" i="6"/>
  <c r="X162" i="6"/>
  <c r="W162" i="6"/>
  <c r="T162" i="6"/>
  <c r="S162" i="6"/>
  <c r="O162" i="6"/>
  <c r="N162" i="6"/>
  <c r="M162" i="6"/>
  <c r="J162" i="6"/>
  <c r="I162" i="6"/>
  <c r="H162" i="6"/>
  <c r="E162" i="6"/>
  <c r="D162" i="6"/>
  <c r="C162" i="6"/>
  <c r="AS161" i="6"/>
  <c r="AR161" i="6"/>
  <c r="AQ161" i="6"/>
  <c r="AN161" i="6"/>
  <c r="AM161" i="6"/>
  <c r="AL161" i="6"/>
  <c r="AI161" i="6"/>
  <c r="AH161" i="6"/>
  <c r="AG161" i="6"/>
  <c r="Y161" i="6"/>
  <c r="X161" i="6"/>
  <c r="W161" i="6"/>
  <c r="T161" i="6"/>
  <c r="S161" i="6"/>
  <c r="R161" i="6"/>
  <c r="O161" i="6"/>
  <c r="N161" i="6"/>
  <c r="M161" i="6"/>
  <c r="J161" i="6"/>
  <c r="I161" i="6"/>
  <c r="H161" i="6"/>
  <c r="E161" i="6"/>
  <c r="D161" i="6"/>
  <c r="C161" i="6"/>
  <c r="AS160" i="6"/>
  <c r="AR160" i="6"/>
  <c r="AN160" i="6"/>
  <c r="AM160" i="6"/>
  <c r="AL160" i="6"/>
  <c r="AI160" i="6"/>
  <c r="AH160" i="6"/>
  <c r="AG160" i="6"/>
  <c r="AD160" i="6"/>
  <c r="AC160" i="6"/>
  <c r="Y160" i="6"/>
  <c r="X160" i="6"/>
  <c r="W160" i="6"/>
  <c r="T160" i="6"/>
  <c r="S160" i="6"/>
  <c r="R160" i="6"/>
  <c r="O160" i="6"/>
  <c r="N160" i="6"/>
  <c r="M160" i="6"/>
  <c r="J160" i="6"/>
  <c r="I160" i="6"/>
  <c r="H160" i="6"/>
  <c r="E160" i="6"/>
  <c r="D160" i="6"/>
  <c r="C160" i="6"/>
  <c r="AX159" i="6"/>
  <c r="AR159" i="6"/>
  <c r="AN159" i="6"/>
  <c r="AL159" i="6"/>
  <c r="AI159" i="6"/>
  <c r="AH159" i="6"/>
  <c r="AG159" i="6"/>
  <c r="Y159" i="6"/>
  <c r="X159" i="6"/>
  <c r="W159" i="6"/>
  <c r="T159" i="6"/>
  <c r="S159" i="6"/>
  <c r="R159" i="6"/>
  <c r="O159" i="6"/>
  <c r="N159" i="6"/>
  <c r="M159" i="6"/>
  <c r="J159" i="6"/>
  <c r="I159" i="6"/>
  <c r="H159" i="6"/>
  <c r="E159" i="6"/>
  <c r="D159" i="6"/>
  <c r="C159" i="6"/>
  <c r="AX158" i="6"/>
  <c r="AS158" i="6"/>
  <c r="AR158" i="6"/>
  <c r="AN158" i="6"/>
  <c r="AM158" i="6"/>
  <c r="AL158" i="6"/>
  <c r="AI158" i="6"/>
  <c r="AH158" i="6"/>
  <c r="AG158" i="6"/>
  <c r="AD158" i="6"/>
  <c r="AC158" i="6"/>
  <c r="Y158" i="6"/>
  <c r="X158" i="6"/>
  <c r="W158" i="6"/>
  <c r="O158" i="6"/>
  <c r="N158" i="6"/>
  <c r="M158" i="6"/>
  <c r="J158" i="6"/>
  <c r="I158" i="6"/>
  <c r="H158" i="6"/>
  <c r="E158" i="6"/>
  <c r="D158" i="6"/>
  <c r="C158" i="6"/>
  <c r="AN157" i="6"/>
  <c r="AM157" i="6"/>
  <c r="AL157" i="6"/>
  <c r="AG157" i="6"/>
  <c r="Y157" i="6"/>
  <c r="X157" i="6"/>
  <c r="W157" i="6"/>
  <c r="O157" i="6"/>
  <c r="N157" i="6"/>
  <c r="M157" i="6"/>
  <c r="J157" i="6"/>
  <c r="I157" i="6"/>
  <c r="H157" i="6"/>
  <c r="E157" i="6"/>
  <c r="D157" i="6"/>
  <c r="C157" i="6"/>
  <c r="BH156" i="6"/>
  <c r="BG156" i="6"/>
  <c r="BF156" i="6"/>
  <c r="BC156" i="6"/>
  <c r="BB156" i="6"/>
  <c r="BA156" i="6"/>
  <c r="AQ156" i="6"/>
  <c r="AN156" i="6"/>
  <c r="AM156" i="6"/>
  <c r="AL156" i="6"/>
  <c r="AI156" i="6"/>
  <c r="AH156" i="6"/>
  <c r="AG156" i="6"/>
  <c r="AD156" i="6"/>
  <c r="AC156" i="6"/>
  <c r="AB156" i="6"/>
  <c r="Y156" i="6"/>
  <c r="X156" i="6"/>
  <c r="W156" i="6"/>
  <c r="T156" i="6"/>
  <c r="S156" i="6"/>
  <c r="R156" i="6"/>
  <c r="O156" i="6"/>
  <c r="N156" i="6"/>
  <c r="M156" i="6"/>
  <c r="J156" i="6"/>
  <c r="I156" i="6"/>
  <c r="H156" i="6"/>
  <c r="E156" i="6"/>
  <c r="D156" i="6"/>
  <c r="C156" i="6"/>
  <c r="AL155" i="6"/>
  <c r="AI155" i="6"/>
  <c r="AH155" i="6"/>
  <c r="AG155" i="6"/>
  <c r="O155" i="6"/>
  <c r="N155" i="6"/>
  <c r="M155" i="6"/>
  <c r="J155" i="6"/>
  <c r="I155" i="6"/>
  <c r="H155" i="6"/>
  <c r="E155" i="6"/>
  <c r="D155" i="6"/>
  <c r="C155" i="6"/>
  <c r="E154" i="6"/>
  <c r="D154" i="6"/>
  <c r="C154" i="6"/>
  <c r="AN152" i="6"/>
  <c r="AM152" i="6"/>
  <c r="AL152" i="6"/>
  <c r="AI152" i="6"/>
  <c r="AH152" i="6"/>
  <c r="AG152" i="6"/>
  <c r="T152" i="6"/>
  <c r="S152" i="6"/>
  <c r="R152" i="6"/>
  <c r="O152" i="6"/>
  <c r="N152" i="6"/>
  <c r="M152" i="6"/>
  <c r="J152" i="6"/>
  <c r="I152" i="6"/>
  <c r="H152" i="6"/>
  <c r="E152" i="6"/>
  <c r="D152" i="6"/>
  <c r="C152" i="6"/>
  <c r="BC151" i="6"/>
  <c r="BB151" i="6"/>
  <c r="AD151" i="6"/>
  <c r="AC151" i="6"/>
  <c r="AB151" i="6"/>
  <c r="T151" i="6"/>
  <c r="S151" i="6"/>
  <c r="R151" i="6"/>
  <c r="AN150" i="6"/>
  <c r="AM150" i="6"/>
  <c r="AL150" i="6"/>
  <c r="AI150" i="6"/>
  <c r="AH150" i="6"/>
  <c r="AG150" i="6"/>
  <c r="O150" i="6"/>
  <c r="N150" i="6"/>
  <c r="M150" i="6"/>
  <c r="J150" i="6"/>
  <c r="I150" i="6"/>
  <c r="H150" i="6"/>
  <c r="E150" i="6"/>
  <c r="D150" i="6"/>
  <c r="C150" i="6"/>
  <c r="AN149" i="6"/>
  <c r="AM149" i="6"/>
  <c r="AL149" i="6"/>
  <c r="AD149" i="6"/>
  <c r="AC149" i="6"/>
  <c r="AB149" i="6"/>
  <c r="Y149" i="6"/>
  <c r="X149" i="6"/>
  <c r="W149" i="6"/>
  <c r="O149" i="6"/>
  <c r="N149" i="6"/>
  <c r="M149" i="6"/>
  <c r="J149" i="6"/>
  <c r="I149" i="6"/>
  <c r="H149" i="6"/>
  <c r="E149" i="6"/>
  <c r="D149" i="6"/>
  <c r="C149" i="6"/>
  <c r="BC148" i="6"/>
  <c r="BB148" i="6"/>
  <c r="BA148" i="6"/>
  <c r="AS148" i="6"/>
  <c r="AR148" i="6"/>
  <c r="AQ148" i="6"/>
  <c r="AN148" i="6"/>
  <c r="AM148" i="6"/>
  <c r="AL148" i="6"/>
  <c r="AI148" i="6"/>
  <c r="AH148" i="6"/>
  <c r="AG148" i="6"/>
  <c r="AD148" i="6"/>
  <c r="AC148" i="6"/>
  <c r="AB148" i="6"/>
  <c r="Y148" i="6"/>
  <c r="X148" i="6"/>
  <c r="W148" i="6"/>
  <c r="T148" i="6"/>
  <c r="S148" i="6"/>
  <c r="R148" i="6"/>
  <c r="O148" i="6"/>
  <c r="N148" i="6"/>
  <c r="M148" i="6"/>
  <c r="J148" i="6"/>
  <c r="I148" i="6"/>
  <c r="H148" i="6"/>
  <c r="E148" i="6"/>
  <c r="D148" i="6"/>
  <c r="C148" i="6"/>
  <c r="AX147" i="6"/>
  <c r="AS147" i="6"/>
  <c r="AR147" i="6"/>
  <c r="AQ147" i="6"/>
  <c r="AN147" i="6"/>
  <c r="AM147" i="6"/>
  <c r="AL147" i="6"/>
  <c r="AI147" i="6"/>
  <c r="AH147" i="6"/>
  <c r="AG147" i="6"/>
  <c r="AD147" i="6"/>
  <c r="AC147" i="6"/>
  <c r="AB147" i="6"/>
  <c r="T147" i="6"/>
  <c r="S147" i="6"/>
  <c r="R147" i="6"/>
  <c r="O147" i="6"/>
  <c r="N147" i="6"/>
  <c r="M147" i="6"/>
  <c r="J147" i="6"/>
  <c r="I147" i="6"/>
  <c r="H147" i="6"/>
  <c r="E147" i="6"/>
  <c r="D147" i="6"/>
  <c r="C147" i="6"/>
  <c r="AS146" i="6"/>
  <c r="AR146" i="6"/>
  <c r="AQ146" i="6"/>
  <c r="AN146" i="6"/>
  <c r="AM146" i="6"/>
  <c r="AL146" i="6"/>
  <c r="AI146" i="6"/>
  <c r="AH146" i="6"/>
  <c r="AG146" i="6"/>
  <c r="AD146" i="6"/>
  <c r="AC146" i="6"/>
  <c r="AB146" i="6"/>
  <c r="T146" i="6"/>
  <c r="S146" i="6"/>
  <c r="R146" i="6"/>
  <c r="O146" i="6"/>
  <c r="N146" i="6"/>
  <c r="M146" i="6"/>
  <c r="J146" i="6"/>
  <c r="I146" i="6"/>
  <c r="H146" i="6"/>
  <c r="E146" i="6"/>
  <c r="D146" i="6"/>
  <c r="C146" i="6"/>
  <c r="AS145" i="6"/>
  <c r="AR145" i="6"/>
  <c r="AQ145" i="6"/>
  <c r="AN145" i="6"/>
  <c r="AM145" i="6"/>
  <c r="AL145" i="6"/>
  <c r="AI145" i="6"/>
  <c r="AH145" i="6"/>
  <c r="AG145" i="6"/>
  <c r="AD145" i="6"/>
  <c r="AC145" i="6"/>
  <c r="T145" i="6"/>
  <c r="S145" i="6"/>
  <c r="R145" i="6"/>
  <c r="O145" i="6"/>
  <c r="N145" i="6"/>
  <c r="M145" i="6"/>
  <c r="J145" i="6"/>
  <c r="I145" i="6"/>
  <c r="H145" i="6"/>
  <c r="E145" i="6"/>
  <c r="D145" i="6"/>
  <c r="C145" i="6"/>
  <c r="AS144" i="6"/>
  <c r="AR144" i="6"/>
  <c r="AQ144" i="6"/>
  <c r="AN144" i="6"/>
  <c r="AM144" i="6"/>
  <c r="AL144" i="6"/>
  <c r="AI144" i="6"/>
  <c r="AH144" i="6"/>
  <c r="AG144" i="6"/>
  <c r="AD144" i="6"/>
  <c r="AC144" i="6"/>
  <c r="AB144" i="6"/>
  <c r="T144" i="6"/>
  <c r="S144" i="6"/>
  <c r="R144" i="6"/>
  <c r="O144" i="6"/>
  <c r="N144" i="6"/>
  <c r="M144" i="6"/>
  <c r="J144" i="6"/>
  <c r="I144" i="6"/>
  <c r="H144" i="6"/>
  <c r="E144" i="6"/>
  <c r="D144" i="6"/>
  <c r="C144" i="6"/>
  <c r="AS143" i="6"/>
  <c r="AR143" i="6"/>
  <c r="AQ143" i="6"/>
  <c r="AN143" i="6"/>
  <c r="AM143" i="6"/>
  <c r="AL143" i="6"/>
  <c r="AI143" i="6"/>
  <c r="AH143" i="6"/>
  <c r="AG143" i="6"/>
  <c r="AC143" i="6"/>
  <c r="AB143" i="6"/>
  <c r="Y143" i="6"/>
  <c r="X143" i="6"/>
  <c r="W143" i="6"/>
  <c r="R143" i="6"/>
  <c r="O143" i="6"/>
  <c r="N143" i="6"/>
  <c r="M143" i="6"/>
  <c r="J143" i="6"/>
  <c r="I143" i="6"/>
  <c r="H143" i="6"/>
  <c r="E143" i="6"/>
  <c r="D143" i="6"/>
  <c r="C143" i="6"/>
  <c r="AI142" i="6"/>
  <c r="AH142" i="6"/>
  <c r="AG142" i="6"/>
  <c r="W142" i="6"/>
  <c r="O142" i="6"/>
  <c r="N142" i="6"/>
  <c r="M142" i="6"/>
  <c r="J142" i="6"/>
  <c r="I142" i="6"/>
  <c r="H142" i="6"/>
  <c r="E142" i="6"/>
  <c r="D142" i="6"/>
  <c r="C142" i="6"/>
  <c r="AS141" i="6"/>
  <c r="AR141" i="6"/>
  <c r="AQ141" i="6"/>
  <c r="AN141" i="6"/>
  <c r="AM141" i="6"/>
  <c r="AL141" i="6"/>
  <c r="AI141" i="6"/>
  <c r="AH141" i="6"/>
  <c r="AG141" i="6"/>
  <c r="Y141" i="6"/>
  <c r="X141" i="6"/>
  <c r="W141" i="6"/>
  <c r="T141" i="6"/>
  <c r="S141" i="6"/>
  <c r="R141" i="6"/>
  <c r="O141" i="6"/>
  <c r="N141" i="6"/>
  <c r="M141" i="6"/>
  <c r="J141" i="6"/>
  <c r="I141" i="6"/>
  <c r="H141" i="6"/>
  <c r="E141" i="6"/>
  <c r="D141" i="6"/>
  <c r="C141" i="6"/>
  <c r="T139" i="6"/>
  <c r="D139" i="6"/>
  <c r="C139" i="6"/>
  <c r="AI138" i="6"/>
  <c r="AH138" i="6"/>
  <c r="AD138" i="6"/>
  <c r="AC138" i="6"/>
  <c r="AB138" i="6"/>
  <c r="Y138" i="6"/>
  <c r="X138" i="6"/>
  <c r="W138" i="6"/>
  <c r="T138" i="6"/>
  <c r="O138" i="6"/>
  <c r="N138" i="6"/>
  <c r="M138" i="6"/>
  <c r="J138" i="6"/>
  <c r="I138" i="6"/>
  <c r="H138" i="6"/>
  <c r="D138" i="6"/>
  <c r="C138" i="6"/>
  <c r="AS137" i="6"/>
  <c r="AR137" i="6"/>
  <c r="AN137" i="6"/>
  <c r="AM137" i="6"/>
  <c r="AL137" i="6"/>
  <c r="AI137" i="6"/>
  <c r="AH137" i="6"/>
  <c r="AG137" i="6"/>
  <c r="AD137" i="6"/>
  <c r="AC137" i="6"/>
  <c r="AB137" i="6"/>
  <c r="Y137" i="6"/>
  <c r="X137" i="6"/>
  <c r="W137" i="6"/>
  <c r="T137" i="6"/>
  <c r="S137" i="6"/>
  <c r="R137" i="6"/>
  <c r="O137" i="6"/>
  <c r="N137" i="6"/>
  <c r="M137" i="6"/>
  <c r="J137" i="6"/>
  <c r="I137" i="6"/>
  <c r="H137" i="6"/>
  <c r="E137" i="6"/>
  <c r="D137" i="6"/>
  <c r="C137" i="6"/>
  <c r="BC136" i="6"/>
  <c r="BB136" i="6"/>
  <c r="BA136" i="6"/>
  <c r="AX136" i="6"/>
  <c r="AS136" i="6"/>
  <c r="AR136" i="6"/>
  <c r="AQ136" i="6"/>
  <c r="AN136" i="6"/>
  <c r="AM136" i="6"/>
  <c r="AL136" i="6"/>
  <c r="AI136" i="6"/>
  <c r="AH136" i="6"/>
  <c r="AG136" i="6"/>
  <c r="AD136" i="6"/>
  <c r="AC136" i="6"/>
  <c r="AB136" i="6"/>
  <c r="Y136" i="6"/>
  <c r="X136" i="6"/>
  <c r="W136" i="6"/>
  <c r="T136" i="6"/>
  <c r="S136" i="6"/>
  <c r="R136" i="6"/>
  <c r="O136" i="6"/>
  <c r="N136" i="6"/>
  <c r="M136" i="6"/>
  <c r="J136" i="6"/>
  <c r="I136" i="6"/>
  <c r="H136" i="6"/>
  <c r="E136" i="6"/>
  <c r="D136" i="6"/>
  <c r="C136" i="6"/>
  <c r="BC135" i="6"/>
  <c r="BB135" i="6"/>
  <c r="BA135" i="6"/>
  <c r="E135" i="6"/>
  <c r="D135" i="6"/>
  <c r="C135" i="6"/>
  <c r="BH134" i="6"/>
  <c r="BG134" i="6"/>
  <c r="AS134" i="6"/>
  <c r="AR134" i="6"/>
  <c r="AQ134" i="6"/>
  <c r="AN134" i="6"/>
  <c r="AM134" i="6"/>
  <c r="AL134" i="6"/>
  <c r="AI134" i="6"/>
  <c r="AH134" i="6"/>
  <c r="AG134" i="6"/>
  <c r="AD134" i="6"/>
  <c r="AC134" i="6"/>
  <c r="AB134" i="6"/>
  <c r="Y134" i="6"/>
  <c r="X134" i="6"/>
  <c r="W134" i="6"/>
  <c r="T134" i="6"/>
  <c r="S134" i="6"/>
  <c r="R134" i="6"/>
  <c r="O134" i="6"/>
  <c r="N134" i="6"/>
  <c r="M134" i="6"/>
  <c r="J134" i="6"/>
  <c r="I134" i="6"/>
  <c r="H134" i="6"/>
  <c r="E134" i="6"/>
  <c r="D134" i="6"/>
  <c r="C134" i="6"/>
  <c r="AS133" i="6"/>
  <c r="AR133" i="6"/>
  <c r="AQ133" i="6"/>
  <c r="AN133" i="6"/>
  <c r="AM133" i="6"/>
  <c r="AL133" i="6"/>
  <c r="AI133" i="6"/>
  <c r="AH133" i="6"/>
  <c r="AG133" i="6"/>
  <c r="AD133" i="6"/>
  <c r="AC133" i="6"/>
  <c r="AB133" i="6"/>
  <c r="Y133" i="6"/>
  <c r="X133" i="6"/>
  <c r="W133" i="6"/>
  <c r="T133" i="6"/>
  <c r="R133" i="6"/>
  <c r="O133" i="6"/>
  <c r="N133" i="6"/>
  <c r="M133" i="6"/>
  <c r="J133" i="6"/>
  <c r="I133" i="6"/>
  <c r="H133" i="6"/>
  <c r="E133" i="6"/>
  <c r="D133" i="6"/>
  <c r="C133" i="6"/>
  <c r="AN130" i="6"/>
  <c r="AM130" i="6"/>
  <c r="AL130" i="6"/>
  <c r="AI130" i="6"/>
  <c r="AH130" i="6"/>
  <c r="AG130" i="6"/>
  <c r="Y130" i="6"/>
  <c r="X130" i="6"/>
  <c r="T130" i="6"/>
  <c r="O130" i="6"/>
  <c r="N130" i="6"/>
  <c r="M130" i="6"/>
  <c r="J130" i="6"/>
  <c r="I130" i="6"/>
  <c r="H130" i="6"/>
  <c r="D130" i="6"/>
  <c r="C130" i="6"/>
  <c r="BC129" i="6"/>
  <c r="BB129" i="6"/>
  <c r="BA129" i="6"/>
  <c r="AS129" i="6"/>
  <c r="AR129" i="6"/>
  <c r="AN129" i="6"/>
  <c r="AM129" i="6"/>
  <c r="AL129" i="6"/>
  <c r="AI129" i="6"/>
  <c r="AH129" i="6"/>
  <c r="AG129" i="6"/>
  <c r="AD129" i="6"/>
  <c r="AC129" i="6"/>
  <c r="AB129" i="6"/>
  <c r="Y129" i="6"/>
  <c r="X129" i="6"/>
  <c r="W129" i="6"/>
  <c r="T129" i="6"/>
  <c r="S129" i="6"/>
  <c r="R129" i="6"/>
  <c r="O129" i="6"/>
  <c r="N129" i="6"/>
  <c r="M129" i="6"/>
  <c r="J129" i="6"/>
  <c r="I129" i="6"/>
  <c r="H129" i="6"/>
  <c r="D129" i="6"/>
  <c r="C129" i="6"/>
  <c r="BC128" i="6"/>
  <c r="BB128" i="6"/>
  <c r="BA128" i="6"/>
  <c r="AD128" i="6"/>
  <c r="AC128" i="6"/>
  <c r="AB128" i="6"/>
  <c r="T128" i="6"/>
  <c r="S128" i="6"/>
  <c r="R128" i="6"/>
  <c r="E128" i="6"/>
  <c r="D128" i="6"/>
  <c r="C128" i="6"/>
  <c r="AN127" i="6"/>
  <c r="AM127" i="6"/>
  <c r="AL127" i="6"/>
  <c r="AI127" i="6"/>
  <c r="AH127" i="6"/>
  <c r="AG127" i="6"/>
  <c r="Y127" i="6"/>
  <c r="X127" i="6"/>
  <c r="W127" i="6"/>
  <c r="T127" i="6"/>
  <c r="S127" i="6"/>
  <c r="O127" i="6"/>
  <c r="N127" i="6"/>
  <c r="M127" i="6"/>
  <c r="J127" i="6"/>
  <c r="I127" i="6"/>
  <c r="H127" i="6"/>
  <c r="BC126" i="6"/>
  <c r="BB126" i="6"/>
  <c r="BA126" i="6"/>
  <c r="AL126" i="6"/>
  <c r="AI126" i="6"/>
  <c r="AH126" i="6"/>
  <c r="AG126" i="6"/>
  <c r="AD126" i="6"/>
  <c r="AC126" i="6"/>
  <c r="AB126" i="6"/>
  <c r="Y126" i="6"/>
  <c r="X126" i="6"/>
  <c r="T126" i="6"/>
  <c r="S126" i="6"/>
  <c r="R126" i="6"/>
  <c r="O126" i="6"/>
  <c r="N126" i="6"/>
  <c r="M126" i="6"/>
  <c r="J126" i="6"/>
  <c r="I126" i="6"/>
  <c r="H126" i="6"/>
  <c r="AN125" i="6"/>
  <c r="AM125" i="6"/>
  <c r="AL125" i="6"/>
  <c r="Y125" i="6"/>
  <c r="X125" i="6"/>
  <c r="W125" i="6"/>
  <c r="T125" i="6"/>
  <c r="S125" i="6"/>
  <c r="R125" i="6"/>
  <c r="O125" i="6"/>
  <c r="N125" i="6"/>
  <c r="M125" i="6"/>
  <c r="J125" i="6"/>
  <c r="I125" i="6"/>
  <c r="H125" i="6"/>
  <c r="AS124" i="6"/>
  <c r="AR124" i="6"/>
  <c r="AQ124" i="6"/>
  <c r="AN124" i="6"/>
  <c r="AM124" i="6"/>
  <c r="AL124" i="6"/>
  <c r="AI124" i="6"/>
  <c r="AH124" i="6"/>
  <c r="AG124" i="6"/>
  <c r="AB124" i="6"/>
  <c r="Y124" i="6"/>
  <c r="X124" i="6"/>
  <c r="W124" i="6"/>
  <c r="T124" i="6"/>
  <c r="S124" i="6"/>
  <c r="R124" i="6"/>
  <c r="O124" i="6"/>
  <c r="N124" i="6"/>
  <c r="M124" i="6"/>
  <c r="J124" i="6"/>
  <c r="I124" i="6"/>
  <c r="H124" i="6"/>
  <c r="D124" i="6"/>
  <c r="C124" i="6"/>
  <c r="AN123" i="6"/>
  <c r="AM123" i="6"/>
  <c r="AL123" i="6"/>
  <c r="O123" i="6"/>
  <c r="N123" i="6"/>
  <c r="M123" i="6"/>
  <c r="J123" i="6"/>
  <c r="I123" i="6"/>
  <c r="H123" i="6"/>
  <c r="AN122" i="6"/>
  <c r="AM122" i="6"/>
  <c r="AL122" i="6"/>
  <c r="Y122" i="6"/>
  <c r="X122" i="6"/>
  <c r="W122" i="6"/>
  <c r="T122" i="6"/>
  <c r="S122" i="6"/>
  <c r="R122" i="6"/>
  <c r="O122" i="6"/>
  <c r="N122" i="6"/>
  <c r="M122" i="6"/>
  <c r="J122" i="6"/>
  <c r="I122" i="6"/>
  <c r="H122" i="6"/>
  <c r="AL121" i="6"/>
  <c r="T121" i="6"/>
  <c r="S121" i="6"/>
  <c r="R121" i="6"/>
  <c r="N121" i="6"/>
  <c r="BC120" i="6"/>
  <c r="BB120" i="6"/>
  <c r="BA120" i="6"/>
  <c r="AS120" i="6"/>
  <c r="AR120" i="6"/>
  <c r="AQ120" i="6"/>
  <c r="AD120" i="6"/>
  <c r="AC120" i="6"/>
  <c r="AB120" i="6"/>
  <c r="T120" i="6"/>
  <c r="S120" i="6"/>
  <c r="R120" i="6"/>
  <c r="BH119" i="6"/>
  <c r="BG119" i="6"/>
  <c r="BF119" i="6"/>
  <c r="BC119" i="6"/>
  <c r="BB119" i="6"/>
  <c r="BA119" i="6"/>
  <c r="AS119" i="6"/>
  <c r="AR119" i="6"/>
  <c r="AQ119" i="6"/>
  <c r="AN119" i="6"/>
  <c r="AM119" i="6"/>
  <c r="AL119" i="6"/>
  <c r="AI119" i="6"/>
  <c r="AH119" i="6"/>
  <c r="AG119" i="6"/>
  <c r="AD119" i="6"/>
  <c r="AC119" i="6"/>
  <c r="AB119" i="6"/>
  <c r="Y119" i="6"/>
  <c r="X119" i="6"/>
  <c r="W119" i="6"/>
  <c r="T119" i="6"/>
  <c r="S119" i="6"/>
  <c r="R119" i="6"/>
  <c r="O119" i="6"/>
  <c r="N119" i="6"/>
  <c r="M119" i="6"/>
  <c r="J119" i="6"/>
  <c r="I119" i="6"/>
  <c r="H119" i="6"/>
  <c r="D119" i="6"/>
  <c r="C119" i="6"/>
  <c r="BH118" i="6"/>
  <c r="BG118" i="6"/>
  <c r="BF118" i="6"/>
  <c r="BC118" i="6"/>
  <c r="BB118" i="6"/>
  <c r="BA118" i="6"/>
  <c r="AV118" i="6"/>
  <c r="AS118" i="6"/>
  <c r="AR118" i="6"/>
  <c r="AQ118" i="6"/>
  <c r="AN118" i="6"/>
  <c r="AM118" i="6"/>
  <c r="AL118" i="6"/>
  <c r="AI118" i="6"/>
  <c r="AH118" i="6"/>
  <c r="AG118" i="6"/>
  <c r="AD118" i="6"/>
  <c r="AC118" i="6"/>
  <c r="AB118" i="6"/>
  <c r="Y118" i="6"/>
  <c r="X118" i="6"/>
  <c r="W118" i="6"/>
  <c r="T118" i="6"/>
  <c r="S118" i="6"/>
  <c r="R118" i="6"/>
  <c r="O118" i="6"/>
  <c r="N118" i="6"/>
  <c r="M118" i="6"/>
  <c r="J118" i="6"/>
  <c r="I118" i="6"/>
  <c r="H118" i="6"/>
  <c r="D118" i="6"/>
  <c r="C118" i="6"/>
  <c r="BC114" i="6"/>
  <c r="BB114" i="6"/>
  <c r="BA114" i="6"/>
  <c r="AX114" i="6"/>
  <c r="AV114" i="6"/>
  <c r="AS114" i="6"/>
  <c r="AR114" i="6"/>
  <c r="AQ114" i="6"/>
  <c r="AN114" i="6"/>
  <c r="AM114" i="6"/>
  <c r="AL114" i="6"/>
  <c r="AI114" i="6"/>
  <c r="AH114" i="6"/>
  <c r="AG114" i="6"/>
  <c r="Y114" i="6"/>
  <c r="X114" i="6"/>
  <c r="W114" i="6"/>
  <c r="T114" i="6"/>
  <c r="S114" i="6"/>
  <c r="R114" i="6"/>
  <c r="O114" i="6"/>
  <c r="N114" i="6"/>
  <c r="M114" i="6"/>
  <c r="J114" i="6"/>
  <c r="I114" i="6"/>
  <c r="H114" i="6"/>
  <c r="E114" i="6"/>
  <c r="D114" i="6"/>
  <c r="C114" i="6"/>
  <c r="AX113" i="6"/>
  <c r="AV113" i="6"/>
  <c r="AS113" i="6"/>
  <c r="AR113" i="6"/>
  <c r="AQ113" i="6"/>
  <c r="AN113" i="6"/>
  <c r="AM113" i="6"/>
  <c r="AL113" i="6"/>
  <c r="AI113" i="6"/>
  <c r="AH113" i="6"/>
  <c r="AG113" i="6"/>
  <c r="Y113" i="6"/>
  <c r="X113" i="6"/>
  <c r="W113" i="6"/>
  <c r="T113" i="6"/>
  <c r="S113" i="6"/>
  <c r="R113" i="6"/>
  <c r="O113" i="6"/>
  <c r="N113" i="6"/>
  <c r="M113" i="6"/>
  <c r="J113" i="6"/>
  <c r="I113" i="6"/>
  <c r="H113" i="6"/>
  <c r="E113" i="6"/>
  <c r="D113" i="6"/>
  <c r="C113" i="6"/>
  <c r="AL111" i="6"/>
  <c r="AI111" i="6"/>
  <c r="AH111" i="6"/>
  <c r="AG111" i="6"/>
  <c r="W111" i="6"/>
  <c r="T111" i="6"/>
  <c r="S111" i="6"/>
  <c r="R111" i="6"/>
  <c r="O111" i="6"/>
  <c r="N111" i="6"/>
  <c r="M111" i="6"/>
  <c r="J111" i="6"/>
  <c r="I111" i="6"/>
  <c r="H111" i="6"/>
  <c r="E111" i="6"/>
  <c r="D111" i="6"/>
  <c r="C111" i="6"/>
  <c r="AN110" i="6"/>
  <c r="AM110" i="6"/>
  <c r="AL110" i="6"/>
  <c r="AI110" i="6"/>
  <c r="AH110" i="6"/>
  <c r="AG110" i="6"/>
  <c r="Y110" i="6"/>
  <c r="X110" i="6"/>
  <c r="W110" i="6"/>
  <c r="T110" i="6"/>
  <c r="S110" i="6"/>
  <c r="R110" i="6"/>
  <c r="O110" i="6"/>
  <c r="N110" i="6"/>
  <c r="M110" i="6"/>
  <c r="J110" i="6"/>
  <c r="I110" i="6"/>
  <c r="H110" i="6"/>
  <c r="E110" i="6"/>
  <c r="D110" i="6"/>
  <c r="C110" i="6"/>
  <c r="AN109" i="6"/>
  <c r="AM109" i="6"/>
  <c r="AL109" i="6"/>
  <c r="AI109" i="6"/>
  <c r="AH109" i="6"/>
  <c r="AG109" i="6"/>
  <c r="T109" i="6"/>
  <c r="S109" i="6"/>
  <c r="R109" i="6"/>
  <c r="O109" i="6"/>
  <c r="N109" i="6"/>
  <c r="M109" i="6"/>
  <c r="J109" i="6"/>
  <c r="I109" i="6"/>
  <c r="H109" i="6"/>
  <c r="E109" i="6"/>
  <c r="D109" i="6"/>
  <c r="C109" i="6"/>
  <c r="BH108" i="6"/>
  <c r="BG108" i="6"/>
  <c r="BF108" i="6"/>
  <c r="AN108" i="6"/>
  <c r="AM108" i="6"/>
  <c r="AL108" i="6"/>
  <c r="AI108" i="6"/>
  <c r="AH108" i="6"/>
  <c r="AG108" i="6"/>
  <c r="AD108" i="6"/>
  <c r="AC108" i="6"/>
  <c r="AB108" i="6"/>
  <c r="Y108" i="6"/>
  <c r="X108" i="6"/>
  <c r="T108" i="6"/>
  <c r="S108" i="6"/>
  <c r="R108" i="6"/>
  <c r="O108" i="6"/>
  <c r="N108" i="6"/>
  <c r="M108" i="6"/>
  <c r="J108" i="6"/>
  <c r="I108" i="6"/>
  <c r="H108" i="6"/>
  <c r="E108" i="6"/>
  <c r="D108" i="6"/>
  <c r="C108" i="6"/>
  <c r="AN106" i="6"/>
  <c r="AM106" i="6"/>
  <c r="AL106" i="6"/>
  <c r="AI106" i="6"/>
  <c r="AH106" i="6"/>
  <c r="AG106" i="6"/>
  <c r="T106" i="6"/>
  <c r="S106" i="6"/>
  <c r="R106" i="6"/>
  <c r="O106" i="6"/>
  <c r="N106" i="6"/>
  <c r="M106" i="6"/>
  <c r="J106" i="6"/>
  <c r="I106" i="6"/>
  <c r="H106" i="6"/>
  <c r="E106" i="6"/>
  <c r="D106" i="6"/>
  <c r="C106" i="6"/>
  <c r="AN103" i="6"/>
  <c r="AM103" i="6"/>
  <c r="AL103" i="6"/>
  <c r="AI103" i="6"/>
  <c r="AH103" i="6"/>
  <c r="AG103" i="6"/>
  <c r="Y103" i="6"/>
  <c r="X103" i="6"/>
  <c r="W103" i="6"/>
  <c r="T103" i="6"/>
  <c r="S103" i="6"/>
  <c r="R103" i="6"/>
  <c r="O103" i="6"/>
  <c r="N103" i="6"/>
  <c r="M103" i="6"/>
  <c r="J103" i="6"/>
  <c r="I103" i="6"/>
  <c r="H103" i="6"/>
  <c r="E103" i="6"/>
  <c r="D103" i="6"/>
  <c r="C103" i="6"/>
  <c r="BH102" i="6"/>
  <c r="BG102" i="6"/>
  <c r="BF102" i="6"/>
  <c r="AS102" i="6"/>
  <c r="AR102" i="6"/>
  <c r="AQ102" i="6"/>
  <c r="AN102" i="6"/>
  <c r="AM102" i="6"/>
  <c r="AL102" i="6"/>
  <c r="AI102" i="6"/>
  <c r="AH102" i="6"/>
  <c r="AG102" i="6"/>
  <c r="AD102" i="6"/>
  <c r="AC102" i="6"/>
  <c r="AB102" i="6"/>
  <c r="Y102" i="6"/>
  <c r="X102" i="6"/>
  <c r="W102" i="6"/>
  <c r="T102" i="6"/>
  <c r="S102" i="6"/>
  <c r="R102" i="6"/>
  <c r="O102" i="6"/>
  <c r="N102" i="6"/>
  <c r="M102" i="6"/>
  <c r="J102" i="6"/>
  <c r="I102" i="6"/>
  <c r="H102" i="6"/>
  <c r="E102" i="6"/>
  <c r="D102" i="6"/>
  <c r="C102" i="6"/>
  <c r="AX100" i="6"/>
  <c r="AW100" i="6"/>
  <c r="AV100" i="6"/>
  <c r="AS100" i="6"/>
  <c r="AR100" i="6"/>
  <c r="AQ100" i="6"/>
  <c r="AN100" i="6"/>
  <c r="AM100" i="6"/>
  <c r="AL100" i="6"/>
  <c r="AI100" i="6"/>
  <c r="AH100" i="6"/>
  <c r="AG100" i="6"/>
  <c r="AD100" i="6"/>
  <c r="AC100" i="6"/>
  <c r="AB100" i="6"/>
  <c r="Y100" i="6"/>
  <c r="X100" i="6"/>
  <c r="W100" i="6"/>
  <c r="T100" i="6"/>
  <c r="S100" i="6"/>
  <c r="R100" i="6"/>
  <c r="O100" i="6"/>
  <c r="N100" i="6"/>
  <c r="M100" i="6"/>
  <c r="J100" i="6"/>
  <c r="I100" i="6"/>
  <c r="H100" i="6"/>
  <c r="E100" i="6"/>
  <c r="D100" i="6"/>
  <c r="C100" i="6"/>
  <c r="AS99" i="6"/>
  <c r="AR99" i="6"/>
  <c r="AQ99" i="6"/>
  <c r="AN99" i="6"/>
  <c r="AM99" i="6"/>
  <c r="AL99" i="6"/>
  <c r="AI99" i="6"/>
  <c r="AH99" i="6"/>
  <c r="AG99" i="6"/>
  <c r="AB99" i="6"/>
  <c r="O99" i="6"/>
  <c r="N99" i="6"/>
  <c r="M99" i="6"/>
  <c r="J99" i="6"/>
  <c r="I99" i="6"/>
  <c r="H99" i="6"/>
  <c r="E99" i="6"/>
  <c r="D99" i="6"/>
  <c r="C99" i="6"/>
  <c r="AS98" i="6"/>
  <c r="AR98" i="6"/>
  <c r="AQ98" i="6"/>
  <c r="AN98" i="6"/>
  <c r="AM98" i="6"/>
  <c r="AL98" i="6"/>
  <c r="AI98" i="6"/>
  <c r="AH98" i="6"/>
  <c r="AG98" i="6"/>
  <c r="AD98" i="6"/>
  <c r="AC98" i="6"/>
  <c r="AB98" i="6"/>
  <c r="Y98" i="6"/>
  <c r="X98" i="6"/>
  <c r="W98" i="6"/>
  <c r="T98" i="6"/>
  <c r="S98" i="6"/>
  <c r="R98" i="6"/>
  <c r="O98" i="6"/>
  <c r="N98" i="6"/>
  <c r="M98" i="6"/>
  <c r="J98" i="6"/>
  <c r="I98" i="6"/>
  <c r="H98" i="6"/>
  <c r="E98" i="6"/>
  <c r="D98" i="6"/>
  <c r="C98" i="6"/>
  <c r="AN96" i="6"/>
  <c r="AM96" i="6"/>
  <c r="AL96" i="6"/>
  <c r="AI96" i="6"/>
  <c r="AH96" i="6"/>
  <c r="AG96" i="6"/>
  <c r="Y96" i="6"/>
  <c r="X96" i="6"/>
  <c r="W96" i="6"/>
  <c r="O96" i="6"/>
  <c r="N96" i="6"/>
  <c r="M96" i="6"/>
  <c r="J96" i="6"/>
  <c r="I96" i="6"/>
  <c r="H96" i="6"/>
  <c r="E96" i="6"/>
  <c r="D96" i="6"/>
  <c r="C96" i="6"/>
  <c r="BH93" i="6"/>
  <c r="BG93" i="6"/>
  <c r="AX93" i="6"/>
  <c r="AS93" i="6"/>
  <c r="AR93" i="6"/>
  <c r="AQ93" i="6"/>
  <c r="AN93" i="6"/>
  <c r="AM93" i="6"/>
  <c r="AL93" i="6"/>
  <c r="AI93" i="6"/>
  <c r="AH93" i="6"/>
  <c r="AG93" i="6"/>
  <c r="Y93" i="6"/>
  <c r="X93" i="6"/>
  <c r="W93" i="6"/>
  <c r="T93" i="6"/>
  <c r="S93" i="6"/>
  <c r="R93" i="6"/>
  <c r="O93" i="6"/>
  <c r="N93" i="6"/>
  <c r="M93" i="6"/>
  <c r="J93" i="6"/>
  <c r="I93" i="6"/>
  <c r="H93" i="6"/>
  <c r="D93" i="6"/>
  <c r="C93" i="6"/>
  <c r="AL92" i="6"/>
  <c r="AI92" i="6"/>
  <c r="AH92" i="6"/>
  <c r="AG92" i="6"/>
  <c r="T92" i="6"/>
  <c r="S92" i="6"/>
  <c r="R92" i="6"/>
  <c r="O92" i="6"/>
  <c r="N92" i="6"/>
  <c r="M92" i="6"/>
  <c r="J92" i="6"/>
  <c r="I92" i="6"/>
  <c r="H92" i="6"/>
  <c r="D92" i="6"/>
  <c r="C92" i="6"/>
  <c r="AS91" i="6"/>
  <c r="AR91" i="6"/>
  <c r="AQ91" i="6"/>
  <c r="AN91" i="6"/>
  <c r="AM91" i="6"/>
  <c r="AL91" i="6"/>
  <c r="AI91" i="6"/>
  <c r="AH91" i="6"/>
  <c r="AG91" i="6"/>
  <c r="Y91" i="6"/>
  <c r="X91" i="6"/>
  <c r="W91" i="6"/>
  <c r="T91" i="6"/>
  <c r="S91" i="6"/>
  <c r="R91" i="6"/>
  <c r="O91" i="6"/>
  <c r="N91" i="6"/>
  <c r="M91" i="6"/>
  <c r="J91" i="6"/>
  <c r="I91" i="6"/>
  <c r="H91" i="6"/>
  <c r="D91" i="6"/>
  <c r="C91" i="6"/>
  <c r="AX90" i="6"/>
  <c r="AV90" i="6"/>
  <c r="AS90" i="6"/>
  <c r="AR90" i="6"/>
  <c r="AQ90" i="6"/>
  <c r="AN90" i="6"/>
  <c r="AM90" i="6"/>
  <c r="AL90" i="6"/>
  <c r="AI90" i="6"/>
  <c r="AH90" i="6"/>
  <c r="AG90" i="6"/>
  <c r="AD90" i="6"/>
  <c r="AC90" i="6"/>
  <c r="AB90" i="6"/>
  <c r="Y90" i="6"/>
  <c r="X90" i="6"/>
  <c r="W90" i="6"/>
  <c r="T90" i="6"/>
  <c r="S90" i="6"/>
  <c r="R90" i="6"/>
  <c r="O90" i="6"/>
  <c r="N90" i="6"/>
  <c r="M90" i="6"/>
  <c r="J90" i="6"/>
  <c r="I90" i="6"/>
  <c r="H90" i="6"/>
  <c r="D90" i="6"/>
  <c r="C90" i="6"/>
  <c r="AX88" i="6"/>
  <c r="AQ88" i="6"/>
  <c r="AN88" i="6"/>
  <c r="AM88" i="6"/>
  <c r="AL88" i="6"/>
  <c r="AI88" i="6"/>
  <c r="AH88" i="6"/>
  <c r="AG88" i="6"/>
  <c r="Y88" i="6"/>
  <c r="X88" i="6"/>
  <c r="W88" i="6"/>
  <c r="R88" i="6"/>
  <c r="O88" i="6"/>
  <c r="N88" i="6"/>
  <c r="M88" i="6"/>
  <c r="J88" i="6"/>
  <c r="I88" i="6"/>
  <c r="H88" i="6"/>
  <c r="E88" i="6"/>
  <c r="D88" i="6"/>
  <c r="C88" i="6"/>
  <c r="AX87" i="6"/>
  <c r="AS87" i="6"/>
  <c r="AR87" i="6"/>
  <c r="AQ87" i="6"/>
  <c r="AN87" i="6"/>
  <c r="AM87" i="6"/>
  <c r="AL87" i="6"/>
  <c r="AI87" i="6"/>
  <c r="AH87" i="6"/>
  <c r="AG87" i="6"/>
  <c r="Y87" i="6"/>
  <c r="X87" i="6"/>
  <c r="W87" i="6"/>
  <c r="T87" i="6"/>
  <c r="S87" i="6"/>
  <c r="R87" i="6"/>
  <c r="O87" i="6"/>
  <c r="N87" i="6"/>
  <c r="M87" i="6"/>
  <c r="J87" i="6"/>
  <c r="I87" i="6"/>
  <c r="H87" i="6"/>
  <c r="E87" i="6"/>
  <c r="D87" i="6"/>
  <c r="C87" i="6"/>
  <c r="AQ86" i="6"/>
  <c r="AN86" i="6"/>
  <c r="AM86" i="6"/>
  <c r="AL86" i="6"/>
  <c r="AI86" i="6"/>
  <c r="AH86" i="6"/>
  <c r="AG86" i="6"/>
  <c r="Y86" i="6"/>
  <c r="X86" i="6"/>
  <c r="W86" i="6"/>
  <c r="T86" i="6"/>
  <c r="S86" i="6"/>
  <c r="R86" i="6"/>
  <c r="O86" i="6"/>
  <c r="N86" i="6"/>
  <c r="M86" i="6"/>
  <c r="J86" i="6"/>
  <c r="I86" i="6"/>
  <c r="H86" i="6"/>
  <c r="E86" i="6"/>
  <c r="D86" i="6"/>
  <c r="C86" i="6"/>
  <c r="AN83" i="6"/>
  <c r="AM83" i="6"/>
  <c r="AL83" i="6"/>
  <c r="AI83" i="6"/>
  <c r="AH83" i="6"/>
  <c r="AG83" i="6"/>
  <c r="Y83" i="6"/>
  <c r="X83" i="6"/>
  <c r="W83" i="6"/>
  <c r="T83" i="6"/>
  <c r="S83" i="6"/>
  <c r="R83" i="6"/>
  <c r="O83" i="6"/>
  <c r="N83" i="6"/>
  <c r="M83" i="6"/>
  <c r="J83" i="6"/>
  <c r="I83" i="6"/>
  <c r="H83" i="6"/>
  <c r="D83" i="6"/>
  <c r="C83" i="6"/>
  <c r="AN81" i="6"/>
  <c r="AI81" i="6"/>
  <c r="AH81" i="6"/>
  <c r="AG81" i="6"/>
  <c r="W81" i="6"/>
  <c r="O81" i="6"/>
  <c r="N81" i="6"/>
  <c r="M81" i="6"/>
  <c r="J81" i="6"/>
  <c r="I81" i="6"/>
  <c r="E81" i="6"/>
  <c r="D81" i="6"/>
  <c r="C81" i="6"/>
  <c r="AN80" i="6"/>
  <c r="AM80" i="6"/>
  <c r="AI80" i="6"/>
  <c r="AH80" i="6"/>
  <c r="AG80" i="6"/>
  <c r="Y80" i="6"/>
  <c r="X80" i="6"/>
  <c r="W80" i="6"/>
  <c r="T80" i="6"/>
  <c r="S80" i="6"/>
  <c r="J80" i="6"/>
  <c r="I80" i="6"/>
  <c r="AI79" i="6"/>
  <c r="AH79" i="6"/>
  <c r="AG79" i="6"/>
  <c r="H79" i="6"/>
  <c r="E79" i="6"/>
  <c r="D79" i="6"/>
  <c r="C79" i="6"/>
  <c r="AL78" i="6"/>
  <c r="AI78" i="6"/>
  <c r="AH78" i="6"/>
  <c r="AG78" i="6"/>
  <c r="W78" i="6"/>
  <c r="O78" i="6"/>
  <c r="N78" i="6"/>
  <c r="M78" i="6"/>
  <c r="J78" i="6"/>
  <c r="I78" i="6"/>
  <c r="H78" i="6"/>
  <c r="E78" i="6"/>
  <c r="D78" i="6"/>
  <c r="C78" i="6"/>
  <c r="AI75" i="6"/>
  <c r="AH75" i="6"/>
  <c r="AG75" i="6"/>
  <c r="T75" i="6"/>
  <c r="S75" i="6"/>
  <c r="R75" i="6"/>
  <c r="O75" i="6"/>
  <c r="N75" i="6"/>
  <c r="M75" i="6"/>
  <c r="H75" i="6"/>
  <c r="E75" i="6"/>
  <c r="D75" i="6"/>
  <c r="C75" i="6"/>
  <c r="AN74" i="6"/>
  <c r="AM74" i="6"/>
  <c r="AL74" i="6"/>
  <c r="AI74" i="6"/>
  <c r="AH74" i="6"/>
  <c r="AG74" i="6"/>
  <c r="W74" i="6"/>
  <c r="T74" i="6"/>
  <c r="S74" i="6"/>
  <c r="R74" i="6"/>
  <c r="O74" i="6"/>
  <c r="N74" i="6"/>
  <c r="M74" i="6"/>
  <c r="J74" i="6"/>
  <c r="I74" i="6"/>
  <c r="H74" i="6"/>
  <c r="E74" i="6"/>
  <c r="D74" i="6"/>
  <c r="C74" i="6"/>
  <c r="BB72" i="6"/>
  <c r="BA72" i="6"/>
  <c r="AX72" i="6"/>
  <c r="AQ72" i="6"/>
  <c r="AN72" i="6"/>
  <c r="AM72" i="6"/>
  <c r="AL72" i="6"/>
  <c r="AI72" i="6"/>
  <c r="AH72" i="6"/>
  <c r="AG72" i="6"/>
  <c r="Y72" i="6"/>
  <c r="X72" i="6"/>
  <c r="W72" i="6"/>
  <c r="T72" i="6"/>
  <c r="S72" i="6"/>
  <c r="R72" i="6"/>
  <c r="O72" i="6"/>
  <c r="N72" i="6"/>
  <c r="M72" i="6"/>
  <c r="J72" i="6"/>
  <c r="I72" i="6"/>
  <c r="H72" i="6"/>
  <c r="E72" i="6"/>
  <c r="D72" i="6"/>
  <c r="C72" i="6"/>
  <c r="BA71" i="6"/>
  <c r="AQ71" i="6"/>
  <c r="AN71" i="6"/>
  <c r="AM71" i="6"/>
  <c r="AL71" i="6"/>
  <c r="AI71" i="6"/>
  <c r="AH71" i="6"/>
  <c r="AG71" i="6"/>
  <c r="W71" i="6"/>
  <c r="T71" i="6"/>
  <c r="S71" i="6"/>
  <c r="R71" i="6"/>
  <c r="O71" i="6"/>
  <c r="N71" i="6"/>
  <c r="M71" i="6"/>
  <c r="J71" i="6"/>
  <c r="I71" i="6"/>
  <c r="H71" i="6"/>
  <c r="E71" i="6"/>
  <c r="D71" i="6"/>
  <c r="C71" i="6"/>
  <c r="AI70" i="6"/>
  <c r="AH70" i="6"/>
  <c r="AG70" i="6"/>
  <c r="Y70" i="6"/>
  <c r="X70" i="6"/>
  <c r="W70" i="6"/>
  <c r="T70" i="6"/>
  <c r="S70" i="6"/>
  <c r="R70" i="6"/>
  <c r="H70" i="6"/>
  <c r="AS69" i="6"/>
  <c r="AR69" i="6"/>
  <c r="AQ69" i="6"/>
  <c r="AN69" i="6"/>
  <c r="AM69" i="6"/>
  <c r="AL69" i="6"/>
  <c r="AI69" i="6"/>
  <c r="AH69" i="6"/>
  <c r="AG69" i="6"/>
  <c r="Y69" i="6"/>
  <c r="X69" i="6"/>
  <c r="W69" i="6"/>
  <c r="T69" i="6"/>
  <c r="S69" i="6"/>
  <c r="R69" i="6"/>
  <c r="O69" i="6"/>
  <c r="N69" i="6"/>
  <c r="M69" i="6"/>
  <c r="J69" i="6"/>
  <c r="I69" i="6"/>
  <c r="H69" i="6"/>
  <c r="AS68" i="6"/>
  <c r="AR68" i="6"/>
  <c r="AQ68" i="6"/>
  <c r="AN68" i="6"/>
  <c r="AM68" i="6"/>
  <c r="AL68" i="6"/>
  <c r="AI68" i="6"/>
  <c r="AH68" i="6"/>
  <c r="AG68" i="6"/>
  <c r="Y68" i="6"/>
  <c r="X68" i="6"/>
  <c r="W68" i="6"/>
  <c r="T68" i="6"/>
  <c r="S68" i="6"/>
  <c r="R68" i="6"/>
  <c r="O68" i="6"/>
  <c r="N68" i="6"/>
  <c r="M68" i="6"/>
  <c r="J68" i="6"/>
  <c r="I68" i="6"/>
  <c r="H68" i="6"/>
  <c r="E68" i="6"/>
  <c r="D68" i="6"/>
  <c r="C68" i="6"/>
  <c r="AM67" i="6"/>
  <c r="AL67" i="6"/>
  <c r="AI67" i="6"/>
  <c r="AH67" i="6"/>
  <c r="AG67" i="6"/>
  <c r="Y67" i="6"/>
  <c r="X67" i="6"/>
  <c r="T67" i="6"/>
  <c r="S67" i="6"/>
  <c r="R67" i="6"/>
  <c r="O67" i="6"/>
  <c r="N67" i="6"/>
  <c r="M67" i="6"/>
  <c r="J67" i="6"/>
  <c r="I67" i="6"/>
  <c r="H67" i="6"/>
  <c r="D67" i="6"/>
  <c r="C67" i="6"/>
  <c r="AS66" i="6"/>
  <c r="AR66" i="6"/>
  <c r="AQ66" i="6"/>
  <c r="AL66" i="6"/>
  <c r="AI66" i="6"/>
  <c r="AH66" i="6"/>
  <c r="AG66" i="6"/>
  <c r="AD66" i="6"/>
  <c r="AC66" i="6"/>
  <c r="AB66" i="6"/>
  <c r="Y66" i="6"/>
  <c r="X66" i="6"/>
  <c r="W66" i="6"/>
  <c r="T66" i="6"/>
  <c r="S66" i="6"/>
  <c r="R66" i="6"/>
  <c r="O66" i="6"/>
  <c r="N66" i="6"/>
  <c r="M66" i="6"/>
  <c r="J66" i="6"/>
  <c r="I66" i="6"/>
  <c r="H66" i="6"/>
  <c r="E66" i="6"/>
  <c r="D66" i="6"/>
  <c r="C66" i="6"/>
  <c r="AX65" i="6"/>
  <c r="AW65" i="6"/>
  <c r="AV65" i="6"/>
  <c r="AS65" i="6"/>
  <c r="AR65" i="6"/>
  <c r="AQ65" i="6"/>
  <c r="AN65" i="6"/>
  <c r="AM65" i="6"/>
  <c r="AL65" i="6"/>
  <c r="AI65" i="6"/>
  <c r="AH65" i="6"/>
  <c r="AG65" i="6"/>
  <c r="AD65" i="6"/>
  <c r="AC65" i="6"/>
  <c r="AB65" i="6"/>
  <c r="Y65" i="6"/>
  <c r="X65" i="6"/>
  <c r="W65" i="6"/>
  <c r="T65" i="6"/>
  <c r="S65" i="6"/>
  <c r="R65" i="6"/>
  <c r="O65" i="6"/>
  <c r="N65" i="6"/>
  <c r="M65" i="6"/>
  <c r="J65" i="6"/>
  <c r="I65" i="6"/>
  <c r="H65" i="6"/>
  <c r="E65" i="6"/>
  <c r="D65" i="6"/>
  <c r="C65" i="6"/>
  <c r="AX64" i="6"/>
  <c r="AN64" i="6"/>
  <c r="AM64" i="6"/>
  <c r="AL64" i="6"/>
  <c r="AI64" i="6"/>
  <c r="AH64" i="6"/>
  <c r="AG64" i="6"/>
  <c r="W64" i="6"/>
  <c r="T64" i="6"/>
  <c r="S64" i="6"/>
  <c r="R64" i="6"/>
  <c r="O64" i="6"/>
  <c r="N64" i="6"/>
  <c r="M64" i="6"/>
  <c r="J64" i="6"/>
  <c r="I64" i="6"/>
  <c r="H64" i="6"/>
  <c r="E64" i="6"/>
  <c r="D64" i="6"/>
  <c r="C64" i="6"/>
  <c r="AS63" i="6"/>
  <c r="AR63" i="6"/>
  <c r="AN63" i="6"/>
  <c r="AM63" i="6"/>
  <c r="AL63" i="6"/>
  <c r="AI63" i="6"/>
  <c r="AH63" i="6"/>
  <c r="AG63" i="6"/>
  <c r="AD63" i="6"/>
  <c r="AC63" i="6"/>
  <c r="Y63" i="6"/>
  <c r="X63" i="6"/>
  <c r="W63" i="6"/>
  <c r="T63" i="6"/>
  <c r="S63" i="6"/>
  <c r="R63" i="6"/>
  <c r="O63" i="6"/>
  <c r="N63" i="6"/>
  <c r="M63" i="6"/>
  <c r="J63" i="6"/>
  <c r="I63" i="6"/>
  <c r="H63" i="6"/>
  <c r="E63" i="6"/>
  <c r="D63" i="6"/>
  <c r="C63" i="6"/>
  <c r="BB62" i="6"/>
  <c r="AX62" i="6"/>
  <c r="AQ62" i="6"/>
  <c r="AN62" i="6"/>
  <c r="AM62" i="6"/>
  <c r="AL62" i="6"/>
  <c r="AI62" i="6"/>
  <c r="AH62" i="6"/>
  <c r="AG62" i="6"/>
  <c r="Y62" i="6"/>
  <c r="W62" i="6"/>
  <c r="T62" i="6"/>
  <c r="S62" i="6"/>
  <c r="R62" i="6"/>
  <c r="O62" i="6"/>
  <c r="N62" i="6"/>
  <c r="M62" i="6"/>
  <c r="J62" i="6"/>
  <c r="I62" i="6"/>
  <c r="H62" i="6"/>
  <c r="E62" i="6"/>
  <c r="D62" i="6"/>
  <c r="C62" i="6"/>
  <c r="BB61" i="6"/>
  <c r="AX61" i="6"/>
  <c r="AW61" i="6"/>
  <c r="AV61" i="6"/>
  <c r="AS61" i="6"/>
  <c r="AR61" i="6"/>
  <c r="AQ61" i="6"/>
  <c r="AN61" i="6"/>
  <c r="AM61" i="6"/>
  <c r="AL61" i="6"/>
  <c r="AI61" i="6"/>
  <c r="AH61" i="6"/>
  <c r="AG61" i="6"/>
  <c r="Y61" i="6"/>
  <c r="X61" i="6"/>
  <c r="W61" i="6"/>
  <c r="T61" i="6"/>
  <c r="S61" i="6"/>
  <c r="R61" i="6"/>
  <c r="O61" i="6"/>
  <c r="N61" i="6"/>
  <c r="M61" i="6"/>
  <c r="J61" i="6"/>
  <c r="I61" i="6"/>
  <c r="H61" i="6"/>
  <c r="E61" i="6"/>
  <c r="D61" i="6"/>
  <c r="C61" i="6"/>
  <c r="AI58" i="6"/>
  <c r="AH58" i="6"/>
  <c r="AG58" i="6"/>
  <c r="T58" i="6"/>
  <c r="S58" i="6"/>
  <c r="R58" i="6"/>
  <c r="O58" i="6"/>
  <c r="N58" i="6"/>
  <c r="M58" i="6"/>
  <c r="J58" i="6"/>
  <c r="I58" i="6"/>
  <c r="H58" i="6"/>
  <c r="E58" i="6"/>
  <c r="AS56" i="6"/>
  <c r="AR56" i="6"/>
  <c r="AQ56" i="6"/>
  <c r="AN56" i="6"/>
  <c r="AM56" i="6"/>
  <c r="AL56" i="6"/>
  <c r="AI56" i="6"/>
  <c r="AH56" i="6"/>
  <c r="AG56" i="6"/>
  <c r="AD56" i="6"/>
  <c r="AC56" i="6"/>
  <c r="Y56" i="6"/>
  <c r="X56" i="6"/>
  <c r="W56" i="6"/>
  <c r="T56" i="6"/>
  <c r="S56" i="6"/>
  <c r="R56" i="6"/>
  <c r="O56" i="6"/>
  <c r="N56" i="6"/>
  <c r="M56" i="6"/>
  <c r="J56" i="6"/>
  <c r="I56" i="6"/>
  <c r="H56" i="6"/>
  <c r="E56" i="6"/>
  <c r="D56" i="6"/>
  <c r="C56" i="6"/>
  <c r="AS55" i="6"/>
  <c r="AR55" i="6"/>
  <c r="AN55" i="6"/>
  <c r="AM55" i="6"/>
  <c r="AL55" i="6"/>
  <c r="AI55" i="6"/>
  <c r="AH55" i="6"/>
  <c r="AG55" i="6"/>
  <c r="AD55" i="6"/>
  <c r="AC55" i="6"/>
  <c r="Y55" i="6"/>
  <c r="X55" i="6"/>
  <c r="W55" i="6"/>
  <c r="T55" i="6"/>
  <c r="S55" i="6"/>
  <c r="R55" i="6"/>
  <c r="O55" i="6"/>
  <c r="N55" i="6"/>
  <c r="M55" i="6"/>
  <c r="J55" i="6"/>
  <c r="I55" i="6"/>
  <c r="H55" i="6"/>
  <c r="E55" i="6"/>
  <c r="D55" i="6"/>
  <c r="C55" i="6"/>
  <c r="AN54" i="6"/>
  <c r="AM54" i="6"/>
  <c r="AL54" i="6"/>
  <c r="AI54" i="6"/>
  <c r="AH54" i="6"/>
  <c r="AG54" i="6"/>
  <c r="AD54" i="6"/>
  <c r="AC54" i="6"/>
  <c r="Y54" i="6"/>
  <c r="X54" i="6"/>
  <c r="W54" i="6"/>
  <c r="T54" i="6"/>
  <c r="S54" i="6"/>
  <c r="R54" i="6"/>
  <c r="O54" i="6"/>
  <c r="N54" i="6"/>
  <c r="M54" i="6"/>
  <c r="J54" i="6"/>
  <c r="I54" i="6"/>
  <c r="H54" i="6"/>
  <c r="E54" i="6"/>
  <c r="D54" i="6"/>
  <c r="C54" i="6"/>
  <c r="AI53" i="6"/>
  <c r="AH53" i="6"/>
  <c r="AG53" i="6"/>
  <c r="T53" i="6"/>
  <c r="S53" i="6"/>
  <c r="R53" i="6"/>
  <c r="O53" i="6"/>
  <c r="N53" i="6"/>
  <c r="M53" i="6"/>
  <c r="J53" i="6"/>
  <c r="I53" i="6"/>
  <c r="H53" i="6"/>
  <c r="AS52" i="6"/>
  <c r="AR52" i="6"/>
  <c r="AQ52" i="6"/>
  <c r="AN52" i="6"/>
  <c r="AM52" i="6"/>
  <c r="AL52" i="6"/>
  <c r="AI52" i="6"/>
  <c r="AH52" i="6"/>
  <c r="AG52" i="6"/>
  <c r="AD52" i="6"/>
  <c r="AC52" i="6"/>
  <c r="Y52" i="6"/>
  <c r="X52" i="6"/>
  <c r="W52" i="6"/>
  <c r="T52" i="6"/>
  <c r="S52" i="6"/>
  <c r="R52" i="6"/>
  <c r="O52" i="6"/>
  <c r="N52" i="6"/>
  <c r="M52" i="6"/>
  <c r="J52" i="6"/>
  <c r="I52" i="6"/>
  <c r="H52" i="6"/>
  <c r="E52" i="6"/>
  <c r="D52" i="6"/>
  <c r="C52" i="6"/>
  <c r="AS51" i="6"/>
  <c r="AR51" i="6"/>
  <c r="AQ51" i="6"/>
  <c r="AN51" i="6"/>
  <c r="AM51" i="6"/>
  <c r="AL51" i="6"/>
  <c r="AI51" i="6"/>
  <c r="AH51" i="6"/>
  <c r="AG51" i="6"/>
  <c r="AD51" i="6"/>
  <c r="AC51" i="6"/>
  <c r="AB51" i="6"/>
  <c r="Y51" i="6"/>
  <c r="X51" i="6"/>
  <c r="W51" i="6"/>
  <c r="T51" i="6"/>
  <c r="S51" i="6"/>
  <c r="R51" i="6"/>
  <c r="O51" i="6"/>
  <c r="N51" i="6"/>
  <c r="M51" i="6"/>
  <c r="J51" i="6"/>
  <c r="I51" i="6"/>
  <c r="H51" i="6"/>
  <c r="E51" i="6"/>
  <c r="D51" i="6"/>
  <c r="C51" i="6"/>
  <c r="AS50" i="6"/>
  <c r="AR50" i="6"/>
  <c r="AN50" i="6"/>
  <c r="AM50" i="6"/>
  <c r="AL50" i="6"/>
  <c r="AI50" i="6"/>
  <c r="AH50" i="6"/>
  <c r="AG50" i="6"/>
  <c r="AD50" i="6"/>
  <c r="AC50" i="6"/>
  <c r="AB50" i="6"/>
  <c r="Y50" i="6"/>
  <c r="X50" i="6"/>
  <c r="W50" i="6"/>
  <c r="T50" i="6"/>
  <c r="S50" i="6"/>
  <c r="O50" i="6"/>
  <c r="N50" i="6"/>
  <c r="M50" i="6"/>
  <c r="J50" i="6"/>
  <c r="I50" i="6"/>
  <c r="H50" i="6"/>
  <c r="E50" i="6"/>
  <c r="D50" i="6"/>
  <c r="C50" i="6"/>
  <c r="AS49" i="6"/>
  <c r="AR49" i="6"/>
  <c r="AQ49" i="6"/>
  <c r="AN49" i="6"/>
  <c r="AM49" i="6"/>
  <c r="AL49" i="6"/>
  <c r="AI49" i="6"/>
  <c r="AH49" i="6"/>
  <c r="AG49" i="6"/>
  <c r="Y49" i="6"/>
  <c r="X49" i="6"/>
  <c r="W49" i="6"/>
  <c r="T49" i="6"/>
  <c r="S49" i="6"/>
  <c r="R49" i="6"/>
  <c r="O49" i="6"/>
  <c r="N49" i="6"/>
  <c r="M49" i="6"/>
  <c r="J49" i="6"/>
  <c r="I49" i="6"/>
  <c r="H49" i="6"/>
  <c r="E49" i="6"/>
  <c r="D49" i="6"/>
  <c r="C49" i="6"/>
  <c r="AS48" i="6"/>
  <c r="AR48" i="6"/>
  <c r="AN48" i="6"/>
  <c r="AM48" i="6"/>
  <c r="AL48" i="6"/>
  <c r="AI48" i="6"/>
  <c r="AH48" i="6"/>
  <c r="AG48" i="6"/>
  <c r="AD48" i="6"/>
  <c r="AC48" i="6"/>
  <c r="Y48" i="6"/>
  <c r="X48" i="6"/>
  <c r="W48" i="6"/>
  <c r="T48" i="6"/>
  <c r="S48" i="6"/>
  <c r="R48" i="6"/>
  <c r="O48" i="6"/>
  <c r="N48" i="6"/>
  <c r="M48" i="6"/>
  <c r="J48" i="6"/>
  <c r="I48" i="6"/>
  <c r="H48" i="6"/>
  <c r="E48" i="6"/>
  <c r="D48" i="6"/>
  <c r="C48" i="6"/>
  <c r="AR47" i="6"/>
  <c r="AN47" i="6"/>
  <c r="AM47" i="6"/>
  <c r="AL47" i="6"/>
  <c r="AI47" i="6"/>
  <c r="AH47" i="6"/>
  <c r="AG47" i="6"/>
  <c r="Y47" i="6"/>
  <c r="X47" i="6"/>
  <c r="W47" i="6"/>
  <c r="T47" i="6"/>
  <c r="S47" i="6"/>
  <c r="R47" i="6"/>
  <c r="O47" i="6"/>
  <c r="N47" i="6"/>
  <c r="M47" i="6"/>
  <c r="J47" i="6"/>
  <c r="I47" i="6"/>
  <c r="H47" i="6"/>
  <c r="E47" i="6"/>
  <c r="D47" i="6"/>
  <c r="C47" i="6"/>
  <c r="AX46" i="6"/>
  <c r="AS46" i="6"/>
  <c r="AR46" i="6"/>
  <c r="AN46" i="6"/>
  <c r="AM46" i="6"/>
  <c r="AL46" i="6"/>
  <c r="AI46" i="6"/>
  <c r="AH46" i="6"/>
  <c r="AG46" i="6"/>
  <c r="AD46" i="6"/>
  <c r="AC46" i="6"/>
  <c r="Y46" i="6"/>
  <c r="X46" i="6"/>
  <c r="W46" i="6"/>
  <c r="O46" i="6"/>
  <c r="N46" i="6"/>
  <c r="M46" i="6"/>
  <c r="J46" i="6"/>
  <c r="I46" i="6"/>
  <c r="H46" i="6"/>
  <c r="E46" i="6"/>
  <c r="D46" i="6"/>
  <c r="C46" i="6"/>
  <c r="AN45" i="6"/>
  <c r="AM45" i="6"/>
  <c r="AL45" i="6"/>
  <c r="AG45" i="6"/>
  <c r="Y45" i="6"/>
  <c r="X45" i="6"/>
  <c r="W45" i="6"/>
  <c r="O45" i="6"/>
  <c r="N45" i="6"/>
  <c r="M45" i="6"/>
  <c r="J45" i="6"/>
  <c r="I45" i="6"/>
  <c r="H45" i="6"/>
  <c r="E45" i="6"/>
  <c r="D45" i="6"/>
  <c r="C45" i="6"/>
  <c r="AQ44" i="6"/>
  <c r="AN44" i="6"/>
  <c r="AM44" i="6"/>
  <c r="AL44" i="6"/>
  <c r="AI44" i="6"/>
  <c r="AH44" i="6"/>
  <c r="AG44" i="6"/>
  <c r="Y44" i="6"/>
  <c r="X44" i="6"/>
  <c r="W44" i="6"/>
  <c r="T44" i="6"/>
  <c r="S44" i="6"/>
  <c r="R44" i="6"/>
  <c r="O44" i="6"/>
  <c r="N44" i="6"/>
  <c r="M44" i="6"/>
  <c r="J44" i="6"/>
  <c r="I44" i="6"/>
  <c r="H44" i="6"/>
  <c r="E44" i="6"/>
  <c r="D44" i="6"/>
  <c r="C44" i="6"/>
  <c r="AI43" i="6"/>
  <c r="AH43" i="6"/>
  <c r="AG43" i="6"/>
  <c r="O43" i="6"/>
  <c r="N43" i="6"/>
  <c r="M43" i="6"/>
  <c r="J43" i="6"/>
  <c r="I43" i="6"/>
  <c r="H43" i="6"/>
  <c r="E43" i="6"/>
  <c r="D43" i="6"/>
  <c r="C43" i="6"/>
  <c r="AN40" i="6"/>
  <c r="AM40" i="6"/>
  <c r="AL40" i="6"/>
  <c r="AI40" i="6"/>
  <c r="AH40" i="6"/>
  <c r="AG40" i="6"/>
  <c r="T40" i="6"/>
  <c r="S40" i="6"/>
  <c r="R40" i="6"/>
  <c r="O40" i="6"/>
  <c r="N40" i="6"/>
  <c r="M40" i="6"/>
  <c r="J40" i="6"/>
  <c r="I40" i="6"/>
  <c r="H40" i="6"/>
  <c r="E40" i="6"/>
  <c r="D40" i="6"/>
  <c r="C40" i="6"/>
  <c r="AN38" i="6"/>
  <c r="AM38" i="6"/>
  <c r="AL38" i="6"/>
  <c r="AI38" i="6"/>
  <c r="AH38" i="6"/>
  <c r="AG38" i="6"/>
  <c r="O38" i="6"/>
  <c r="N38" i="6"/>
  <c r="M38" i="6"/>
  <c r="J38" i="6"/>
  <c r="I38" i="6"/>
  <c r="H38" i="6"/>
  <c r="E38" i="6"/>
  <c r="D38" i="6"/>
  <c r="C38" i="6"/>
  <c r="AN37" i="6"/>
  <c r="AM37" i="6"/>
  <c r="AL37" i="6"/>
  <c r="AD37" i="6"/>
  <c r="AC37" i="6"/>
  <c r="AB37" i="6"/>
  <c r="Y37" i="6"/>
  <c r="X37" i="6"/>
  <c r="W37" i="6"/>
  <c r="O37" i="6"/>
  <c r="N37" i="6"/>
  <c r="M37" i="6"/>
  <c r="J37" i="6"/>
  <c r="I37" i="6"/>
  <c r="H37" i="6"/>
  <c r="E37" i="6"/>
  <c r="D37" i="6"/>
  <c r="AS36" i="6"/>
  <c r="AR36" i="6"/>
  <c r="AQ36" i="6"/>
  <c r="AN36" i="6"/>
  <c r="AM36" i="6"/>
  <c r="AL36" i="6"/>
  <c r="AI36" i="6"/>
  <c r="AH36" i="6"/>
  <c r="AG36" i="6"/>
  <c r="AD36" i="6"/>
  <c r="AC36" i="6"/>
  <c r="AB36" i="6"/>
  <c r="Y36" i="6"/>
  <c r="X36" i="6"/>
  <c r="W36" i="6"/>
  <c r="T36" i="6"/>
  <c r="S36" i="6"/>
  <c r="R36" i="6"/>
  <c r="O36" i="6"/>
  <c r="N36" i="6"/>
  <c r="M36" i="6"/>
  <c r="J36" i="6"/>
  <c r="I36" i="6"/>
  <c r="H36" i="6"/>
  <c r="E36" i="6"/>
  <c r="D36" i="6"/>
  <c r="C36" i="6"/>
  <c r="AX35" i="6"/>
  <c r="AS35" i="6"/>
  <c r="AR35" i="6"/>
  <c r="AQ35" i="6"/>
  <c r="AN35" i="6"/>
  <c r="AM35" i="6"/>
  <c r="AL35" i="6"/>
  <c r="AI35" i="6"/>
  <c r="AH35" i="6"/>
  <c r="AG35" i="6"/>
  <c r="AD35" i="6"/>
  <c r="AC35" i="6"/>
  <c r="AB35" i="6"/>
  <c r="T35" i="6"/>
  <c r="S35" i="6"/>
  <c r="R35" i="6"/>
  <c r="O35" i="6"/>
  <c r="N35" i="6"/>
  <c r="M35" i="6"/>
  <c r="J35" i="6"/>
  <c r="I35" i="6"/>
  <c r="H35" i="6"/>
  <c r="E35" i="6"/>
  <c r="D35" i="6"/>
  <c r="C35" i="6"/>
  <c r="AS34" i="6"/>
  <c r="AR34" i="6"/>
  <c r="AQ34" i="6"/>
  <c r="AN34" i="6"/>
  <c r="AM34" i="6"/>
  <c r="AL34" i="6"/>
  <c r="AI34" i="6"/>
  <c r="AH34" i="6"/>
  <c r="AG34" i="6"/>
  <c r="AD34" i="6"/>
  <c r="AC34" i="6"/>
  <c r="AB34" i="6"/>
  <c r="T34" i="6"/>
  <c r="S34" i="6"/>
  <c r="R34" i="6"/>
  <c r="O34" i="6"/>
  <c r="N34" i="6"/>
  <c r="M34" i="6"/>
  <c r="J34" i="6"/>
  <c r="I34" i="6"/>
  <c r="H34" i="6"/>
  <c r="E34" i="6"/>
  <c r="D34" i="6"/>
  <c r="C34" i="6"/>
  <c r="AS33" i="6"/>
  <c r="AR33" i="6"/>
  <c r="AQ33" i="6"/>
  <c r="AN33" i="6"/>
  <c r="AM33" i="6"/>
  <c r="AL33" i="6"/>
  <c r="AI33" i="6"/>
  <c r="AH33" i="6"/>
  <c r="AG33" i="6"/>
  <c r="AD33" i="6"/>
  <c r="AC33" i="6"/>
  <c r="T33" i="6"/>
  <c r="S33" i="6"/>
  <c r="R33" i="6"/>
  <c r="O33" i="6"/>
  <c r="N33" i="6"/>
  <c r="M33" i="6"/>
  <c r="J33" i="6"/>
  <c r="I33" i="6"/>
  <c r="H33" i="6"/>
  <c r="E33" i="6"/>
  <c r="D33" i="6"/>
  <c r="C33" i="6"/>
  <c r="AS32" i="6"/>
  <c r="AR32" i="6"/>
  <c r="AQ32" i="6"/>
  <c r="AN32" i="6"/>
  <c r="AM32" i="6"/>
  <c r="AL32" i="6"/>
  <c r="AI32" i="6"/>
  <c r="AH32" i="6"/>
  <c r="AG32" i="6"/>
  <c r="AD32" i="6"/>
  <c r="AC32" i="6"/>
  <c r="AB32" i="6"/>
  <c r="T32" i="6"/>
  <c r="S32" i="6"/>
  <c r="R32" i="6"/>
  <c r="O32" i="6"/>
  <c r="N32" i="6"/>
  <c r="M32" i="6"/>
  <c r="J32" i="6"/>
  <c r="I32" i="6"/>
  <c r="H32" i="6"/>
  <c r="E32" i="6"/>
  <c r="D32" i="6"/>
  <c r="C32" i="6"/>
  <c r="AS31" i="6"/>
  <c r="AR31" i="6"/>
  <c r="AQ31" i="6"/>
  <c r="AN31" i="6"/>
  <c r="AM31" i="6"/>
  <c r="AL31" i="6"/>
  <c r="AI31" i="6"/>
  <c r="AH31" i="6"/>
  <c r="AG31" i="6"/>
  <c r="AB31" i="6"/>
  <c r="Y31" i="6"/>
  <c r="X31" i="6"/>
  <c r="W31" i="6"/>
  <c r="O31" i="6"/>
  <c r="N31" i="6"/>
  <c r="M31" i="6"/>
  <c r="J31" i="6"/>
  <c r="I31" i="6"/>
  <c r="H31" i="6"/>
  <c r="E31" i="6"/>
  <c r="D31" i="6"/>
  <c r="C31" i="6"/>
  <c r="AI30" i="6"/>
  <c r="AH30" i="6"/>
  <c r="AG30" i="6"/>
  <c r="W30" i="6"/>
  <c r="O30" i="6"/>
  <c r="N30" i="6"/>
  <c r="M30" i="6"/>
  <c r="J30" i="6"/>
  <c r="I30" i="6"/>
  <c r="H30" i="6"/>
  <c r="E30" i="6"/>
  <c r="D30" i="6"/>
  <c r="C30" i="6"/>
  <c r="AS29" i="6"/>
  <c r="AR29" i="6"/>
  <c r="AQ29" i="6"/>
  <c r="AN29" i="6"/>
  <c r="AM29" i="6"/>
  <c r="AL29" i="6"/>
  <c r="AI29" i="6"/>
  <c r="AH29" i="6"/>
  <c r="AG29" i="6"/>
  <c r="Y29" i="6"/>
  <c r="X29" i="6"/>
  <c r="W29" i="6"/>
  <c r="T29" i="6"/>
  <c r="S29" i="6"/>
  <c r="R29" i="6"/>
  <c r="O29" i="6"/>
  <c r="N29" i="6"/>
  <c r="M29" i="6"/>
  <c r="J29" i="6"/>
  <c r="I29" i="6"/>
  <c r="H29" i="6"/>
  <c r="E29" i="6"/>
  <c r="D29" i="6"/>
  <c r="C29" i="6"/>
  <c r="AI26" i="6"/>
  <c r="AH26" i="6"/>
  <c r="AD26" i="6"/>
  <c r="AC26" i="6"/>
  <c r="AB26" i="6"/>
  <c r="Y26" i="6"/>
  <c r="X26" i="6"/>
  <c r="W26" i="6"/>
  <c r="T26" i="6"/>
  <c r="O26" i="6"/>
  <c r="N26" i="6"/>
  <c r="M26" i="6"/>
  <c r="J26" i="6"/>
  <c r="I26" i="6"/>
  <c r="H26" i="6"/>
  <c r="D26" i="6"/>
  <c r="C26" i="6"/>
  <c r="AN25" i="6"/>
  <c r="AM25" i="6"/>
  <c r="AL25" i="6"/>
  <c r="AI25" i="6"/>
  <c r="AH25" i="6"/>
  <c r="AG25" i="6"/>
  <c r="Y25" i="6"/>
  <c r="X25" i="6"/>
  <c r="W25" i="6"/>
  <c r="O25" i="6"/>
  <c r="N25" i="6"/>
  <c r="M25" i="6"/>
  <c r="J25" i="6"/>
  <c r="I25" i="6"/>
  <c r="H25" i="6"/>
  <c r="E25" i="6"/>
  <c r="D25" i="6"/>
  <c r="C25" i="6"/>
  <c r="AX24" i="6"/>
  <c r="AS24" i="6"/>
  <c r="AR24" i="6"/>
  <c r="AQ24" i="6"/>
  <c r="AN24" i="6"/>
  <c r="AM24" i="6"/>
  <c r="AL24" i="6"/>
  <c r="AI24" i="6"/>
  <c r="AH24" i="6"/>
  <c r="AG24" i="6"/>
  <c r="AD24" i="6"/>
  <c r="AC24" i="6"/>
  <c r="AB24" i="6"/>
  <c r="Y24" i="6"/>
  <c r="X24" i="6"/>
  <c r="W24" i="6"/>
  <c r="T24" i="6"/>
  <c r="S24" i="6"/>
  <c r="R24" i="6"/>
  <c r="O24" i="6"/>
  <c r="N24" i="6"/>
  <c r="M24" i="6"/>
  <c r="J24" i="6"/>
  <c r="I24" i="6"/>
  <c r="H24" i="6"/>
  <c r="E24" i="6"/>
  <c r="D24" i="6"/>
  <c r="C24" i="6"/>
  <c r="BH22" i="6"/>
  <c r="BG22" i="6"/>
  <c r="AS22" i="6"/>
  <c r="AR22" i="6"/>
  <c r="AQ22" i="6"/>
  <c r="AN22" i="6"/>
  <c r="AM22" i="6"/>
  <c r="AL22" i="6"/>
  <c r="AI22" i="6"/>
  <c r="AH22" i="6"/>
  <c r="AG22" i="6"/>
  <c r="AD22" i="6"/>
  <c r="AC22" i="6"/>
  <c r="AB22" i="6"/>
  <c r="Y22" i="6"/>
  <c r="X22" i="6"/>
  <c r="W22" i="6"/>
  <c r="T22" i="6"/>
  <c r="S22" i="6"/>
  <c r="R22" i="6"/>
  <c r="O22" i="6"/>
  <c r="N22" i="6"/>
  <c r="M22" i="6"/>
  <c r="J22" i="6"/>
  <c r="I22" i="6"/>
  <c r="H22" i="6"/>
  <c r="E22" i="6"/>
  <c r="D22" i="6"/>
  <c r="C22" i="6"/>
  <c r="AS21" i="6"/>
  <c r="AR21" i="6"/>
  <c r="AQ21" i="6"/>
  <c r="AN21" i="6"/>
  <c r="AM21" i="6"/>
  <c r="AL21" i="6"/>
  <c r="AI21" i="6"/>
  <c r="AH21" i="6"/>
  <c r="AG21" i="6"/>
  <c r="AD21" i="6"/>
  <c r="AC21" i="6"/>
  <c r="AB21" i="6"/>
  <c r="Y21" i="6"/>
  <c r="X21" i="6"/>
  <c r="W21" i="6"/>
  <c r="T21" i="6"/>
  <c r="R21" i="6"/>
  <c r="O21" i="6"/>
  <c r="N21" i="6"/>
  <c r="M21" i="6"/>
  <c r="J21" i="6"/>
  <c r="I21" i="6"/>
  <c r="H21" i="6"/>
  <c r="E21" i="6"/>
  <c r="D21" i="6"/>
  <c r="C21" i="6"/>
  <c r="AN18" i="6"/>
  <c r="AM18" i="6"/>
  <c r="AL18" i="6"/>
  <c r="AI18" i="6"/>
  <c r="AH18" i="6"/>
  <c r="AG18" i="6"/>
  <c r="Y18" i="6"/>
  <c r="X18" i="6"/>
  <c r="T18" i="6"/>
  <c r="O18" i="6"/>
  <c r="N18" i="6"/>
  <c r="M18" i="6"/>
  <c r="J18" i="6"/>
  <c r="I18" i="6"/>
  <c r="H18" i="6"/>
  <c r="D18" i="6"/>
  <c r="C18" i="6"/>
  <c r="AS17" i="6"/>
  <c r="AR17" i="6"/>
  <c r="AN17" i="6"/>
  <c r="AM17" i="6"/>
  <c r="AL17" i="6"/>
  <c r="AI17" i="6"/>
  <c r="AH17" i="6"/>
  <c r="AG17" i="6"/>
  <c r="Y17" i="6"/>
  <c r="X17" i="6"/>
  <c r="W17" i="6"/>
  <c r="T17" i="6"/>
  <c r="S17" i="6"/>
  <c r="R17" i="6"/>
  <c r="O17" i="6"/>
  <c r="N17" i="6"/>
  <c r="M17" i="6"/>
  <c r="J17" i="6"/>
  <c r="I17" i="6"/>
  <c r="H17" i="6"/>
  <c r="D17" i="6"/>
  <c r="C17" i="6"/>
  <c r="AN15" i="6"/>
  <c r="AM15" i="6"/>
  <c r="AL15" i="6"/>
  <c r="AI15" i="6"/>
  <c r="AH15" i="6"/>
  <c r="AG15" i="6"/>
  <c r="Y15" i="6"/>
  <c r="X15" i="6"/>
  <c r="W15" i="6"/>
  <c r="T15" i="6"/>
  <c r="S15" i="6"/>
  <c r="O15" i="6"/>
  <c r="N15" i="6"/>
  <c r="M15" i="6"/>
  <c r="J15" i="6"/>
  <c r="I15" i="6"/>
  <c r="H15" i="6"/>
  <c r="AL14" i="6"/>
  <c r="AI14" i="6"/>
  <c r="AH14" i="6"/>
  <c r="AG14" i="6"/>
  <c r="Y14" i="6"/>
  <c r="X14" i="6"/>
  <c r="T14" i="6"/>
  <c r="S14" i="6"/>
  <c r="R14" i="6"/>
  <c r="O14" i="6"/>
  <c r="N14" i="6"/>
  <c r="M14" i="6"/>
  <c r="J14" i="6"/>
  <c r="I14" i="6"/>
  <c r="H14" i="6"/>
  <c r="AN13" i="6"/>
  <c r="AM13" i="6"/>
  <c r="AL13" i="6"/>
  <c r="Y13" i="6"/>
  <c r="X13" i="6"/>
  <c r="W13" i="6"/>
  <c r="O13" i="6"/>
  <c r="N13" i="6"/>
  <c r="M13" i="6"/>
  <c r="I13" i="6"/>
  <c r="H13" i="6"/>
  <c r="AS12" i="6"/>
  <c r="AR12" i="6"/>
  <c r="AQ12" i="6"/>
  <c r="AN12" i="6"/>
  <c r="AM12" i="6"/>
  <c r="AL12" i="6"/>
  <c r="AI12" i="6"/>
  <c r="AH12" i="6"/>
  <c r="AG12" i="6"/>
  <c r="AB12" i="6"/>
  <c r="Y12" i="6"/>
  <c r="X12" i="6"/>
  <c r="W12" i="6"/>
  <c r="T12" i="6"/>
  <c r="S12" i="6"/>
  <c r="R12" i="6"/>
  <c r="O12" i="6"/>
  <c r="N12" i="6"/>
  <c r="M12" i="6"/>
  <c r="J12" i="6"/>
  <c r="I12" i="6"/>
  <c r="H12" i="6"/>
  <c r="D12" i="6"/>
  <c r="C12" i="6"/>
  <c r="AN11" i="6"/>
  <c r="AM11" i="6"/>
  <c r="AL11" i="6"/>
  <c r="O11" i="6"/>
  <c r="N11" i="6"/>
  <c r="M11" i="6"/>
  <c r="J11" i="6"/>
  <c r="I11" i="6"/>
  <c r="H11" i="6"/>
  <c r="AN10" i="6"/>
  <c r="AM10" i="6"/>
  <c r="AL10" i="6"/>
  <c r="Y10" i="6"/>
  <c r="X10" i="6"/>
  <c r="W10" i="6"/>
  <c r="T10" i="6"/>
  <c r="S10" i="6"/>
  <c r="R10" i="6"/>
  <c r="O10" i="6"/>
  <c r="N10" i="6"/>
  <c r="M10" i="6"/>
  <c r="J10" i="6"/>
  <c r="I10" i="6"/>
  <c r="H10" i="6"/>
  <c r="O9" i="6"/>
  <c r="N9" i="6"/>
  <c r="M9" i="6"/>
  <c r="BF7" i="6"/>
  <c r="AS7" i="6"/>
  <c r="AR7" i="6"/>
  <c r="AQ7" i="6"/>
  <c r="AN7" i="6"/>
  <c r="AM7" i="6"/>
  <c r="AL7" i="6"/>
  <c r="AI7" i="6"/>
  <c r="AH7" i="6"/>
  <c r="AG7" i="6"/>
  <c r="AD7" i="6"/>
  <c r="AC7" i="6"/>
  <c r="AB7" i="6"/>
  <c r="Y7" i="6"/>
  <c r="X7" i="6"/>
  <c r="W7" i="6"/>
  <c r="T7" i="6"/>
  <c r="S7" i="6"/>
  <c r="R7" i="6"/>
  <c r="O7" i="6"/>
  <c r="N7" i="6"/>
  <c r="M7" i="6"/>
  <c r="J7" i="6"/>
  <c r="I7" i="6"/>
  <c r="H7" i="6"/>
  <c r="D7" i="6"/>
  <c r="C7" i="6"/>
  <c r="BC6" i="6"/>
  <c r="AS6" i="6"/>
  <c r="AR6" i="6"/>
  <c r="AQ6" i="6"/>
  <c r="AN6" i="6"/>
  <c r="AM6" i="6"/>
  <c r="AL6" i="6"/>
  <c r="AI6" i="6"/>
  <c r="AH6" i="6"/>
  <c r="AG6" i="6"/>
  <c r="Y6" i="6"/>
  <c r="X6" i="6"/>
  <c r="W6" i="6"/>
  <c r="T6" i="6"/>
  <c r="S6" i="6"/>
  <c r="R6" i="6"/>
  <c r="O6" i="6"/>
  <c r="N6" i="6"/>
  <c r="M6" i="6"/>
  <c r="J6" i="6"/>
  <c r="I6" i="6"/>
  <c r="H6" i="6"/>
  <c r="D6" i="6"/>
  <c r="C6" i="6"/>
  <c r="N338" i="5"/>
  <c r="M338" i="5"/>
  <c r="L338" i="5"/>
  <c r="E338" i="5"/>
  <c r="D338" i="5"/>
  <c r="C338" i="5"/>
  <c r="N337" i="5"/>
  <c r="M337" i="5"/>
  <c r="L337" i="5"/>
  <c r="E337" i="5"/>
  <c r="D337" i="5"/>
  <c r="C337" i="5"/>
  <c r="E336" i="5"/>
  <c r="D336" i="5"/>
  <c r="C336" i="5"/>
  <c r="N335" i="5"/>
  <c r="M335" i="5"/>
  <c r="L335" i="5"/>
  <c r="E335" i="5"/>
  <c r="D335" i="5"/>
  <c r="C335" i="5"/>
  <c r="N334" i="5"/>
  <c r="M334" i="5"/>
  <c r="L334" i="5"/>
  <c r="E334" i="5"/>
  <c r="D334" i="5"/>
  <c r="C334" i="5"/>
  <c r="N327" i="5"/>
  <c r="M327" i="5"/>
  <c r="L327" i="5"/>
  <c r="E327" i="5"/>
  <c r="D327" i="5"/>
  <c r="C327" i="5"/>
  <c r="N326" i="5"/>
  <c r="M326" i="5"/>
  <c r="L326" i="5"/>
  <c r="E326" i="5"/>
  <c r="D326" i="5"/>
  <c r="C326" i="5"/>
  <c r="N325" i="5"/>
  <c r="M325" i="5"/>
  <c r="L325" i="5"/>
  <c r="E325" i="5"/>
  <c r="D325" i="5"/>
  <c r="C325" i="5"/>
  <c r="N323" i="5"/>
  <c r="M323" i="5"/>
  <c r="L323" i="5"/>
  <c r="E323" i="5"/>
  <c r="D323" i="5"/>
  <c r="C323" i="5"/>
  <c r="E322" i="5"/>
  <c r="D322" i="5"/>
  <c r="C322" i="5"/>
  <c r="E321" i="5"/>
  <c r="D321" i="5"/>
  <c r="C321" i="5"/>
  <c r="N318" i="5"/>
  <c r="M318" i="5"/>
  <c r="L318" i="5"/>
  <c r="E318" i="5"/>
  <c r="D318" i="5"/>
  <c r="C318" i="5"/>
  <c r="N317" i="5"/>
  <c r="M317" i="5"/>
  <c r="L317" i="5"/>
  <c r="E317" i="5"/>
  <c r="D317" i="5"/>
  <c r="C317" i="5"/>
  <c r="N316" i="5"/>
  <c r="M316" i="5"/>
  <c r="L316" i="5"/>
  <c r="E316" i="5"/>
  <c r="D316" i="5"/>
  <c r="C316" i="5"/>
  <c r="N315" i="5"/>
  <c r="M315" i="5"/>
  <c r="L315" i="5"/>
  <c r="E315" i="5"/>
  <c r="D315" i="5"/>
  <c r="C315" i="5"/>
  <c r="N313" i="5"/>
  <c r="M313" i="5"/>
  <c r="L313" i="5"/>
  <c r="E313" i="5"/>
  <c r="D313" i="5"/>
  <c r="C313" i="5"/>
  <c r="N312" i="5"/>
  <c r="M312" i="5"/>
  <c r="L312" i="5"/>
  <c r="E312" i="5"/>
  <c r="D312" i="5"/>
  <c r="C312" i="5"/>
  <c r="N311" i="5"/>
  <c r="M311" i="5"/>
  <c r="L311" i="5"/>
  <c r="E311" i="5"/>
  <c r="D311" i="5"/>
  <c r="C311" i="5"/>
  <c r="N309" i="5"/>
  <c r="M309" i="5"/>
  <c r="L309" i="5"/>
  <c r="E309" i="5"/>
  <c r="D309" i="5"/>
  <c r="C309" i="5"/>
  <c r="E303" i="5"/>
  <c r="D303" i="5"/>
  <c r="C303" i="5"/>
  <c r="N299" i="5"/>
  <c r="M299" i="5"/>
  <c r="L299" i="5"/>
  <c r="E299" i="5"/>
  <c r="D299" i="5"/>
  <c r="C299" i="5"/>
  <c r="E297" i="5"/>
  <c r="D297" i="5"/>
  <c r="C297" i="5"/>
  <c r="N296" i="5"/>
  <c r="M296" i="5"/>
  <c r="L296" i="5"/>
  <c r="E296" i="5"/>
  <c r="D296" i="5"/>
  <c r="C296" i="5"/>
  <c r="N293" i="5"/>
  <c r="M293" i="5"/>
  <c r="L293" i="5"/>
  <c r="E293" i="5"/>
  <c r="D293" i="5"/>
  <c r="C293" i="5"/>
  <c r="N290" i="5"/>
  <c r="M290" i="5"/>
  <c r="L290" i="5"/>
  <c r="E290" i="5"/>
  <c r="D290" i="5"/>
  <c r="C290" i="5"/>
  <c r="N289" i="5"/>
  <c r="M289" i="5"/>
  <c r="L289" i="5"/>
  <c r="E289" i="5"/>
  <c r="D289" i="5"/>
  <c r="C289" i="5"/>
  <c r="N288" i="5"/>
  <c r="M288" i="5"/>
  <c r="L288" i="5"/>
  <c r="E288" i="5"/>
  <c r="D288" i="5"/>
  <c r="C288" i="5"/>
  <c r="N287" i="5"/>
  <c r="M287" i="5"/>
  <c r="L287" i="5"/>
  <c r="E287" i="5"/>
  <c r="D287" i="5"/>
  <c r="C287" i="5"/>
  <c r="N286" i="5"/>
  <c r="M286" i="5"/>
  <c r="L286" i="5"/>
  <c r="E286" i="5"/>
  <c r="D286" i="5"/>
  <c r="C286" i="5"/>
  <c r="N285" i="5"/>
  <c r="M285" i="5"/>
  <c r="L285" i="5"/>
  <c r="E285" i="5"/>
  <c r="D285" i="5"/>
  <c r="C285" i="5"/>
  <c r="N284" i="5"/>
  <c r="M284" i="5"/>
  <c r="L284" i="5"/>
  <c r="E284" i="5"/>
  <c r="D284" i="5"/>
  <c r="C284" i="5"/>
  <c r="N282" i="5"/>
  <c r="M282" i="5"/>
  <c r="L282" i="5"/>
  <c r="E282" i="5"/>
  <c r="D282" i="5"/>
  <c r="C282" i="5"/>
  <c r="N281" i="5"/>
  <c r="M281" i="5"/>
  <c r="L281" i="5"/>
  <c r="E281" i="5"/>
  <c r="D281" i="5"/>
  <c r="C281" i="5"/>
  <c r="N277" i="5"/>
  <c r="M277" i="5"/>
  <c r="L277" i="5"/>
  <c r="E277" i="5"/>
  <c r="D277" i="5"/>
  <c r="C277" i="5"/>
  <c r="N276" i="5"/>
  <c r="M276" i="5"/>
  <c r="L276" i="5"/>
  <c r="E276" i="5"/>
  <c r="D276" i="5"/>
  <c r="C276" i="5"/>
  <c r="N275" i="5"/>
  <c r="M275" i="5"/>
  <c r="L275" i="5"/>
  <c r="E275" i="5"/>
  <c r="D275" i="5"/>
  <c r="C275" i="5"/>
  <c r="E272" i="5"/>
  <c r="D272" i="5"/>
  <c r="C272" i="5"/>
  <c r="N269" i="5"/>
  <c r="M269" i="5"/>
  <c r="L269" i="5"/>
  <c r="E269" i="5"/>
  <c r="D269" i="5"/>
  <c r="C269" i="5"/>
  <c r="N267" i="5"/>
  <c r="M267" i="5"/>
  <c r="L267" i="5"/>
  <c r="E267" i="5"/>
  <c r="D267" i="5"/>
  <c r="C267" i="5"/>
  <c r="E265" i="5"/>
  <c r="D265" i="5"/>
  <c r="C265" i="5"/>
  <c r="N264" i="5"/>
  <c r="M264" i="5"/>
  <c r="L264" i="5"/>
  <c r="E264" i="5"/>
  <c r="D264" i="5"/>
  <c r="C264" i="5"/>
  <c r="N261" i="5"/>
  <c r="M261" i="5"/>
  <c r="L261" i="5"/>
  <c r="E261" i="5"/>
  <c r="D261" i="5"/>
  <c r="C261" i="5"/>
  <c r="N252" i="5"/>
  <c r="M252" i="5"/>
  <c r="L252" i="5"/>
  <c r="E252" i="5"/>
  <c r="D252" i="5"/>
  <c r="C252" i="5"/>
  <c r="N250" i="5"/>
  <c r="M250" i="5"/>
  <c r="L250" i="5"/>
  <c r="E250" i="5"/>
  <c r="D250" i="5"/>
  <c r="C250" i="5"/>
  <c r="N249" i="5"/>
  <c r="M249" i="5"/>
  <c r="L249" i="5"/>
  <c r="E249" i="5"/>
  <c r="D249" i="5"/>
  <c r="C249" i="5"/>
  <c r="N248" i="5"/>
  <c r="M248" i="5"/>
  <c r="L248" i="5"/>
  <c r="E248" i="5"/>
  <c r="D248" i="5"/>
  <c r="C248" i="5"/>
  <c r="N242" i="5"/>
  <c r="M242" i="5"/>
  <c r="L242" i="5"/>
  <c r="E242" i="5"/>
  <c r="D242" i="5"/>
  <c r="C242" i="5"/>
  <c r="N241" i="5"/>
  <c r="M241" i="5"/>
  <c r="L241" i="5"/>
  <c r="E241" i="5"/>
  <c r="D241" i="5"/>
  <c r="C241" i="5"/>
  <c r="N239" i="5"/>
  <c r="M239" i="5"/>
  <c r="L239" i="5"/>
  <c r="E239" i="5"/>
  <c r="D239" i="5"/>
  <c r="C239" i="5"/>
  <c r="N238" i="5"/>
  <c r="M238" i="5"/>
  <c r="L238" i="5"/>
  <c r="E238" i="5"/>
  <c r="D238" i="5"/>
  <c r="C238" i="5"/>
  <c r="N234" i="5"/>
  <c r="M234" i="5"/>
  <c r="L234" i="5"/>
  <c r="E234" i="5"/>
  <c r="D234" i="5"/>
  <c r="C234" i="5"/>
  <c r="N233" i="5"/>
  <c r="M233" i="5"/>
  <c r="L233" i="5"/>
  <c r="E233" i="5"/>
  <c r="D233" i="5"/>
  <c r="C233" i="5"/>
  <c r="N232" i="5"/>
  <c r="M232" i="5"/>
  <c r="L232" i="5"/>
  <c r="E232" i="5"/>
  <c r="D232" i="5"/>
  <c r="C232" i="5"/>
  <c r="N231" i="5"/>
  <c r="M231" i="5"/>
  <c r="L231" i="5"/>
  <c r="E231" i="5"/>
  <c r="D231" i="5"/>
  <c r="C231" i="5"/>
  <c r="N225" i="5"/>
  <c r="M225" i="5"/>
  <c r="L225" i="5"/>
  <c r="E225" i="5"/>
  <c r="D225" i="5"/>
  <c r="C225" i="5"/>
  <c r="N224" i="5"/>
  <c r="M224" i="5"/>
  <c r="L224" i="5"/>
  <c r="E224" i="5"/>
  <c r="D224" i="5"/>
  <c r="C224" i="5"/>
  <c r="N223" i="5"/>
  <c r="M223" i="5"/>
  <c r="L223" i="5"/>
  <c r="E223" i="5"/>
  <c r="D223" i="5"/>
  <c r="C223" i="5"/>
  <c r="N222" i="5"/>
  <c r="M222" i="5"/>
  <c r="L222" i="5"/>
  <c r="E222" i="5"/>
  <c r="D222" i="5"/>
  <c r="C222" i="5"/>
  <c r="N221" i="5"/>
  <c r="M221" i="5"/>
  <c r="L221" i="5"/>
  <c r="E221" i="5"/>
  <c r="D221" i="5"/>
  <c r="C221" i="5"/>
  <c r="N220" i="5"/>
  <c r="M220" i="5"/>
  <c r="L220" i="5"/>
  <c r="E220" i="5"/>
  <c r="D220" i="5"/>
  <c r="C220" i="5"/>
  <c r="N219" i="5"/>
  <c r="M219" i="5"/>
  <c r="L219" i="5"/>
  <c r="E219" i="5"/>
  <c r="D219" i="5"/>
  <c r="C219" i="5"/>
  <c r="N217" i="5"/>
  <c r="M217" i="5"/>
  <c r="L217" i="5"/>
  <c r="E217" i="5"/>
  <c r="D217" i="5"/>
  <c r="C217" i="5"/>
  <c r="N214" i="5"/>
  <c r="M214" i="5"/>
  <c r="L214" i="5"/>
  <c r="E214" i="5"/>
  <c r="D214" i="5"/>
  <c r="C214" i="5"/>
  <c r="N213" i="5"/>
  <c r="M213" i="5"/>
  <c r="L213" i="5"/>
  <c r="E213" i="5"/>
  <c r="D213" i="5"/>
  <c r="C213" i="5"/>
  <c r="N212" i="5"/>
  <c r="M212" i="5"/>
  <c r="L212" i="5"/>
  <c r="E212" i="5"/>
  <c r="D212" i="5"/>
  <c r="C212" i="5"/>
  <c r="N211" i="5"/>
  <c r="M211" i="5"/>
  <c r="L211" i="5"/>
  <c r="E211" i="5"/>
  <c r="D211" i="5"/>
  <c r="C211" i="5"/>
  <c r="N210" i="5"/>
  <c r="M210" i="5"/>
  <c r="L210" i="5"/>
  <c r="E210" i="5"/>
  <c r="D210" i="5"/>
  <c r="C210" i="5"/>
  <c r="N209" i="5"/>
  <c r="M209" i="5"/>
  <c r="L209" i="5"/>
  <c r="E209" i="5"/>
  <c r="D209" i="5"/>
  <c r="C209" i="5"/>
  <c r="E208" i="5"/>
  <c r="D208" i="5"/>
  <c r="C208" i="5"/>
  <c r="N207" i="5"/>
  <c r="M207" i="5"/>
  <c r="L207" i="5"/>
  <c r="E207" i="5"/>
  <c r="D207" i="5"/>
  <c r="C207" i="5"/>
  <c r="N204" i="5"/>
  <c r="M204" i="5"/>
  <c r="L204" i="5"/>
  <c r="E204" i="5"/>
  <c r="D204" i="5"/>
  <c r="C204" i="5"/>
  <c r="N203" i="5"/>
  <c r="M203" i="5"/>
  <c r="L203" i="5"/>
  <c r="E203" i="5"/>
  <c r="D203" i="5"/>
  <c r="C203" i="5"/>
  <c r="N202" i="5"/>
  <c r="M202" i="5"/>
  <c r="L202" i="5"/>
  <c r="E202" i="5"/>
  <c r="D202" i="5"/>
  <c r="C202" i="5"/>
  <c r="N201" i="5"/>
  <c r="M201" i="5"/>
  <c r="L201" i="5"/>
  <c r="E201" i="5"/>
  <c r="D201" i="5"/>
  <c r="C201" i="5"/>
  <c r="N199" i="5"/>
  <c r="M199" i="5"/>
  <c r="L199" i="5"/>
  <c r="E199" i="5"/>
  <c r="D199" i="5"/>
  <c r="C199" i="5"/>
  <c r="N198" i="5"/>
  <c r="M198" i="5"/>
  <c r="L198" i="5"/>
  <c r="E198" i="5"/>
  <c r="D198" i="5"/>
  <c r="C198" i="5"/>
  <c r="N197" i="5"/>
  <c r="M197" i="5"/>
  <c r="L197" i="5"/>
  <c r="E197" i="5"/>
  <c r="D197" i="5"/>
  <c r="C197" i="5"/>
  <c r="N195" i="5"/>
  <c r="M195" i="5"/>
  <c r="L195" i="5"/>
  <c r="E195" i="5"/>
  <c r="D195" i="5"/>
  <c r="C195" i="5"/>
  <c r="N194" i="5"/>
  <c r="M194" i="5"/>
  <c r="L194" i="5"/>
  <c r="E194" i="5"/>
  <c r="D194" i="5"/>
  <c r="C194" i="5"/>
  <c r="N192" i="5"/>
  <c r="M192" i="5"/>
  <c r="L192" i="5"/>
  <c r="E192" i="5"/>
  <c r="D192" i="5"/>
  <c r="C192" i="5"/>
  <c r="N191" i="5"/>
  <c r="M191" i="5"/>
  <c r="L191" i="5"/>
  <c r="E191" i="5"/>
  <c r="D191" i="5"/>
  <c r="C191" i="5"/>
  <c r="N190" i="5"/>
  <c r="M190" i="5"/>
  <c r="L190" i="5"/>
  <c r="E190" i="5"/>
  <c r="D190" i="5"/>
  <c r="C190" i="5"/>
  <c r="N189" i="5"/>
  <c r="M189" i="5"/>
  <c r="L189" i="5"/>
  <c r="E189" i="5"/>
  <c r="D189" i="5"/>
  <c r="C189" i="5"/>
  <c r="N186" i="5"/>
  <c r="M186" i="5"/>
  <c r="L186" i="5"/>
  <c r="E186" i="5"/>
  <c r="D186" i="5"/>
  <c r="C186" i="5"/>
  <c r="N185" i="5"/>
  <c r="M185" i="5"/>
  <c r="L185" i="5"/>
  <c r="E185" i="5"/>
  <c r="D185" i="5"/>
  <c r="C185" i="5"/>
  <c r="N183" i="5"/>
  <c r="M183" i="5"/>
  <c r="L183" i="5"/>
  <c r="E183" i="5"/>
  <c r="D183" i="5"/>
  <c r="C183" i="5"/>
  <c r="N182" i="5"/>
  <c r="M182" i="5"/>
  <c r="L182" i="5"/>
  <c r="E182" i="5"/>
  <c r="D182" i="5"/>
  <c r="C182" i="5"/>
  <c r="N181" i="5"/>
  <c r="M181" i="5"/>
  <c r="L181" i="5"/>
  <c r="E181" i="5"/>
  <c r="D181" i="5"/>
  <c r="C181" i="5"/>
  <c r="N180" i="5"/>
  <c r="M180" i="5"/>
  <c r="L180" i="5"/>
  <c r="E180" i="5"/>
  <c r="D180" i="5"/>
  <c r="C180" i="5"/>
  <c r="N179" i="5"/>
  <c r="M179" i="5"/>
  <c r="L179" i="5"/>
  <c r="E179" i="5"/>
  <c r="D179" i="5"/>
  <c r="C179" i="5"/>
  <c r="N178" i="5"/>
  <c r="M178" i="5"/>
  <c r="L178" i="5"/>
  <c r="E178" i="5"/>
  <c r="D178" i="5"/>
  <c r="C178" i="5"/>
  <c r="N177" i="5"/>
  <c r="M177" i="5"/>
  <c r="L177" i="5"/>
  <c r="E177" i="5"/>
  <c r="D177" i="5"/>
  <c r="C177" i="5"/>
  <c r="N176" i="5"/>
  <c r="M176" i="5"/>
  <c r="L176" i="5"/>
  <c r="E176" i="5"/>
  <c r="D176" i="5"/>
  <c r="C176" i="5"/>
  <c r="N175" i="5"/>
  <c r="M175" i="5"/>
  <c r="L175" i="5"/>
  <c r="E175" i="5"/>
  <c r="D175" i="5"/>
  <c r="C175" i="5"/>
  <c r="N174" i="5"/>
  <c r="M174" i="5"/>
  <c r="L174" i="5"/>
  <c r="E174" i="5"/>
  <c r="D174" i="5"/>
  <c r="C174" i="5"/>
  <c r="N173" i="5"/>
  <c r="M173" i="5"/>
  <c r="L173" i="5"/>
  <c r="E173" i="5"/>
  <c r="D173" i="5"/>
  <c r="C173" i="5"/>
  <c r="N172" i="5"/>
  <c r="M172" i="5"/>
  <c r="L172" i="5"/>
  <c r="E172" i="5"/>
  <c r="D172" i="5"/>
  <c r="C172" i="5"/>
  <c r="N171" i="5"/>
  <c r="M171" i="5"/>
  <c r="L171" i="5"/>
  <c r="E171" i="5"/>
  <c r="D171" i="5"/>
  <c r="C171" i="5"/>
  <c r="N170" i="5"/>
  <c r="M170" i="5"/>
  <c r="L170" i="5"/>
  <c r="E170" i="5"/>
  <c r="D170" i="5"/>
  <c r="C170" i="5"/>
  <c r="N169" i="5"/>
  <c r="M169" i="5"/>
  <c r="L169" i="5"/>
  <c r="E169" i="5"/>
  <c r="D169" i="5"/>
  <c r="C169" i="5"/>
  <c r="N168" i="5"/>
  <c r="M168" i="5"/>
  <c r="L168" i="5"/>
  <c r="E168" i="5"/>
  <c r="D168" i="5"/>
  <c r="C168" i="5"/>
  <c r="N167" i="5"/>
  <c r="M167" i="5"/>
  <c r="L167" i="5"/>
  <c r="E167" i="5"/>
  <c r="D167" i="5"/>
  <c r="C167" i="5"/>
  <c r="N166" i="5"/>
  <c r="M166" i="5"/>
  <c r="L166" i="5"/>
  <c r="E166" i="5"/>
  <c r="D166" i="5"/>
  <c r="C166" i="5"/>
  <c r="N165" i="5"/>
  <c r="M165" i="5"/>
  <c r="L165" i="5"/>
  <c r="E165" i="5"/>
  <c r="D165" i="5"/>
  <c r="C165" i="5"/>
  <c r="N164" i="5"/>
  <c r="M164" i="5"/>
  <c r="L164" i="5"/>
  <c r="E164" i="5"/>
  <c r="D164" i="5"/>
  <c r="C164" i="5"/>
  <c r="N163" i="5"/>
  <c r="M163" i="5"/>
  <c r="L163" i="5"/>
  <c r="E163" i="5"/>
  <c r="D163" i="5"/>
  <c r="C163" i="5"/>
  <c r="N162" i="5"/>
  <c r="M162" i="5"/>
  <c r="L162" i="5"/>
  <c r="E162" i="5"/>
  <c r="D162" i="5"/>
  <c r="C162" i="5"/>
  <c r="N161" i="5"/>
  <c r="M161" i="5"/>
  <c r="L161" i="5"/>
  <c r="E161" i="5"/>
  <c r="D161" i="5"/>
  <c r="C161" i="5"/>
  <c r="N160" i="5"/>
  <c r="M160" i="5"/>
  <c r="L160" i="5"/>
  <c r="E160" i="5"/>
  <c r="D160" i="5"/>
  <c r="C160" i="5"/>
  <c r="N159" i="5"/>
  <c r="M159" i="5"/>
  <c r="L159" i="5"/>
  <c r="E159" i="5"/>
  <c r="D159" i="5"/>
  <c r="C159" i="5"/>
  <c r="N158" i="5"/>
  <c r="M158" i="5"/>
  <c r="L158" i="5"/>
  <c r="E158" i="5"/>
  <c r="D158" i="5"/>
  <c r="C158" i="5"/>
  <c r="N157" i="5"/>
  <c r="M157" i="5"/>
  <c r="L157" i="5"/>
  <c r="E157" i="5"/>
  <c r="D157" i="5"/>
  <c r="C157" i="5"/>
  <c r="N156" i="5"/>
  <c r="M156" i="5"/>
  <c r="L156" i="5"/>
  <c r="E156" i="5"/>
  <c r="D156" i="5"/>
  <c r="C156" i="5"/>
  <c r="N155" i="5"/>
  <c r="M155" i="5"/>
  <c r="L155" i="5"/>
  <c r="E155" i="5"/>
  <c r="D155" i="5"/>
  <c r="C155" i="5"/>
  <c r="N154" i="5"/>
  <c r="M154" i="5"/>
  <c r="L154" i="5"/>
  <c r="E154" i="5"/>
  <c r="D154" i="5"/>
  <c r="C154" i="5"/>
  <c r="N153" i="5"/>
  <c r="M153" i="5"/>
  <c r="L153" i="5"/>
  <c r="E153" i="5"/>
  <c r="D153" i="5"/>
  <c r="C153" i="5"/>
  <c r="N151" i="5"/>
  <c r="M151" i="5"/>
  <c r="L151" i="5"/>
  <c r="E151" i="5"/>
  <c r="D151" i="5"/>
  <c r="C151" i="5"/>
  <c r="N150" i="5"/>
  <c r="M150" i="5"/>
  <c r="L150" i="5"/>
  <c r="E150" i="5"/>
  <c r="D150" i="5"/>
  <c r="C150" i="5"/>
  <c r="N149" i="5"/>
  <c r="M149" i="5"/>
  <c r="L149" i="5"/>
  <c r="E149" i="5"/>
  <c r="D149" i="5"/>
  <c r="C149" i="5"/>
  <c r="N148" i="5"/>
  <c r="M148" i="5"/>
  <c r="L148" i="5"/>
  <c r="E148" i="5"/>
  <c r="D148" i="5"/>
  <c r="C148" i="5"/>
  <c r="N147" i="5"/>
  <c r="M147" i="5"/>
  <c r="L147" i="5"/>
  <c r="E147" i="5"/>
  <c r="D147" i="5"/>
  <c r="C147" i="5"/>
  <c r="N146" i="5"/>
  <c r="M146" i="5"/>
  <c r="L146" i="5"/>
  <c r="E146" i="5"/>
  <c r="D146" i="5"/>
  <c r="C146" i="5"/>
  <c r="N145" i="5"/>
  <c r="M145" i="5"/>
  <c r="L145" i="5"/>
  <c r="E145" i="5"/>
  <c r="D145" i="5"/>
  <c r="C145" i="5"/>
  <c r="N144" i="5"/>
  <c r="M144" i="5"/>
  <c r="L144" i="5"/>
  <c r="E144" i="5"/>
  <c r="D144" i="5"/>
  <c r="C144" i="5"/>
  <c r="N143" i="5"/>
  <c r="M143" i="5"/>
  <c r="L143" i="5"/>
  <c r="E143" i="5"/>
  <c r="D143" i="5"/>
  <c r="C143" i="5"/>
  <c r="N142" i="5"/>
  <c r="M142" i="5"/>
  <c r="L142" i="5"/>
  <c r="E142" i="5"/>
  <c r="D142" i="5"/>
  <c r="C142" i="5"/>
  <c r="N141" i="5"/>
  <c r="M141" i="5"/>
  <c r="L141" i="5"/>
  <c r="E141" i="5"/>
  <c r="D141" i="5"/>
  <c r="C141" i="5"/>
  <c r="N140" i="5"/>
  <c r="M140" i="5"/>
  <c r="L140" i="5"/>
  <c r="E140" i="5"/>
  <c r="D140" i="5"/>
  <c r="C140" i="5"/>
  <c r="N138" i="5"/>
  <c r="M138" i="5"/>
  <c r="L138" i="5"/>
  <c r="E138" i="5"/>
  <c r="D138" i="5"/>
  <c r="C138" i="5"/>
  <c r="N137" i="5"/>
  <c r="M137" i="5"/>
  <c r="L137" i="5"/>
  <c r="E137" i="5"/>
  <c r="D137" i="5"/>
  <c r="C137" i="5"/>
  <c r="N136" i="5"/>
  <c r="M136" i="5"/>
  <c r="L136" i="5"/>
  <c r="E136" i="5"/>
  <c r="D136" i="5"/>
  <c r="C136" i="5"/>
  <c r="N135" i="5"/>
  <c r="M135" i="5"/>
  <c r="L135" i="5"/>
  <c r="E135" i="5"/>
  <c r="D135" i="5"/>
  <c r="C135" i="5"/>
  <c r="N134" i="5"/>
  <c r="M134" i="5"/>
  <c r="L134" i="5"/>
  <c r="E134" i="5"/>
  <c r="D134" i="5"/>
  <c r="C134" i="5"/>
  <c r="N133" i="5"/>
  <c r="M133" i="5"/>
  <c r="L133" i="5"/>
  <c r="E133" i="5"/>
  <c r="D133" i="5"/>
  <c r="C133" i="5"/>
  <c r="N132" i="5"/>
  <c r="M132" i="5"/>
  <c r="L132" i="5"/>
  <c r="E132" i="5"/>
  <c r="D132" i="5"/>
  <c r="C132" i="5"/>
  <c r="N129" i="5"/>
  <c r="M129" i="5"/>
  <c r="L129" i="5"/>
  <c r="E129" i="5"/>
  <c r="D129" i="5"/>
  <c r="C129" i="5"/>
  <c r="N128" i="5"/>
  <c r="M128" i="5"/>
  <c r="L128" i="5"/>
  <c r="E128" i="5"/>
  <c r="D128" i="5"/>
  <c r="C128" i="5"/>
  <c r="N127" i="5"/>
  <c r="M127" i="5"/>
  <c r="L127" i="5"/>
  <c r="E127" i="5"/>
  <c r="D127" i="5"/>
  <c r="C127" i="5"/>
  <c r="N126" i="5"/>
  <c r="M126" i="5"/>
  <c r="L126" i="5"/>
  <c r="E126" i="5"/>
  <c r="D126" i="5"/>
  <c r="C126" i="5"/>
  <c r="N125" i="5"/>
  <c r="M125" i="5"/>
  <c r="L125" i="5"/>
  <c r="E125" i="5"/>
  <c r="D125" i="5"/>
  <c r="C125" i="5"/>
  <c r="N124" i="5"/>
  <c r="M124" i="5"/>
  <c r="L124" i="5"/>
  <c r="E124" i="5"/>
  <c r="D124" i="5"/>
  <c r="C124" i="5"/>
  <c r="N123" i="5"/>
  <c r="M123" i="5"/>
  <c r="L123" i="5"/>
  <c r="E123" i="5"/>
  <c r="D123" i="5"/>
  <c r="C123" i="5"/>
  <c r="N122" i="5"/>
  <c r="M122" i="5"/>
  <c r="L122" i="5"/>
  <c r="E122" i="5"/>
  <c r="D122" i="5"/>
  <c r="C122" i="5"/>
  <c r="N121" i="5"/>
  <c r="M121" i="5"/>
  <c r="L121" i="5"/>
  <c r="E121" i="5"/>
  <c r="D121" i="5"/>
  <c r="C121" i="5"/>
  <c r="N120" i="5"/>
  <c r="M120" i="5"/>
  <c r="L120" i="5"/>
  <c r="E120" i="5"/>
  <c r="D120" i="5"/>
  <c r="C120" i="5"/>
  <c r="N119" i="5"/>
  <c r="M119" i="5"/>
  <c r="L119" i="5"/>
  <c r="E119" i="5"/>
  <c r="D119" i="5"/>
  <c r="C119" i="5"/>
  <c r="N118" i="5"/>
  <c r="M118" i="5"/>
  <c r="L118" i="5"/>
  <c r="E118" i="5"/>
  <c r="D118" i="5"/>
  <c r="C118" i="5"/>
  <c r="N117" i="5"/>
  <c r="M117" i="5"/>
  <c r="L117" i="5"/>
  <c r="E117" i="5"/>
  <c r="D117" i="5"/>
  <c r="C117" i="5"/>
  <c r="N111" i="5"/>
  <c r="M111" i="5"/>
  <c r="L111" i="5"/>
  <c r="E111" i="5"/>
  <c r="D111" i="5"/>
  <c r="C111" i="5"/>
  <c r="N110" i="5"/>
  <c r="M110" i="5"/>
  <c r="L110" i="5"/>
  <c r="E110" i="5"/>
  <c r="D110" i="5"/>
  <c r="C110" i="5"/>
  <c r="N108" i="5"/>
  <c r="M108" i="5"/>
  <c r="L108" i="5"/>
  <c r="E108" i="5"/>
  <c r="D108" i="5"/>
  <c r="C108" i="5"/>
  <c r="N107" i="5"/>
  <c r="M107" i="5"/>
  <c r="L107" i="5"/>
  <c r="E107" i="5"/>
  <c r="D107" i="5"/>
  <c r="C107" i="5"/>
  <c r="N106" i="5"/>
  <c r="M106" i="5"/>
  <c r="L106" i="5"/>
  <c r="E106" i="5"/>
  <c r="D106" i="5"/>
  <c r="C106" i="5"/>
  <c r="N105" i="5"/>
  <c r="M105" i="5"/>
  <c r="L105" i="5"/>
  <c r="E105" i="5"/>
  <c r="D105" i="5"/>
  <c r="C105" i="5"/>
  <c r="N103" i="5"/>
  <c r="M103" i="5"/>
  <c r="L103" i="5"/>
  <c r="E103" i="5"/>
  <c r="D103" i="5"/>
  <c r="C103" i="5"/>
  <c r="N100" i="5"/>
  <c r="M100" i="5"/>
  <c r="L100" i="5"/>
  <c r="E100" i="5"/>
  <c r="D100" i="5"/>
  <c r="C100" i="5"/>
  <c r="N99" i="5"/>
  <c r="M99" i="5"/>
  <c r="L99" i="5"/>
  <c r="E99" i="5"/>
  <c r="D99" i="5"/>
  <c r="C99" i="5"/>
  <c r="N97" i="5"/>
  <c r="M97" i="5"/>
  <c r="L97" i="5"/>
  <c r="E97" i="5"/>
  <c r="D97" i="5"/>
  <c r="C97" i="5"/>
  <c r="N96" i="5"/>
  <c r="M96" i="5"/>
  <c r="L96" i="5"/>
  <c r="E96" i="5"/>
  <c r="D96" i="5"/>
  <c r="C96" i="5"/>
  <c r="N95" i="5"/>
  <c r="M95" i="5"/>
  <c r="L95" i="5"/>
  <c r="E95" i="5"/>
  <c r="D95" i="5"/>
  <c r="C95" i="5"/>
  <c r="N93" i="5"/>
  <c r="M93" i="5"/>
  <c r="L93" i="5"/>
  <c r="E93" i="5"/>
  <c r="D93" i="5"/>
  <c r="C93" i="5"/>
  <c r="N90" i="5"/>
  <c r="M90" i="5"/>
  <c r="L90" i="5"/>
  <c r="E90" i="5"/>
  <c r="D90" i="5"/>
  <c r="C90" i="5"/>
  <c r="N89" i="5"/>
  <c r="M89" i="5"/>
  <c r="L89" i="5"/>
  <c r="E89" i="5"/>
  <c r="D89" i="5"/>
  <c r="C89" i="5"/>
  <c r="N88" i="5"/>
  <c r="M88" i="5"/>
  <c r="L88" i="5"/>
  <c r="E88" i="5"/>
  <c r="D88" i="5"/>
  <c r="C88" i="5"/>
  <c r="N87" i="5"/>
  <c r="M87" i="5"/>
  <c r="L87" i="5"/>
  <c r="E87" i="5"/>
  <c r="D87" i="5"/>
  <c r="C87" i="5"/>
  <c r="N85" i="5"/>
  <c r="M85" i="5"/>
  <c r="L85" i="5"/>
  <c r="E85" i="5"/>
  <c r="D85" i="5"/>
  <c r="C85" i="5"/>
  <c r="N84" i="5"/>
  <c r="M84" i="5"/>
  <c r="L84" i="5"/>
  <c r="E84" i="5"/>
  <c r="D84" i="5"/>
  <c r="C84" i="5"/>
  <c r="N83" i="5"/>
  <c r="M83" i="5"/>
  <c r="L83" i="5"/>
  <c r="E83" i="5"/>
  <c r="D83" i="5"/>
  <c r="C83" i="5"/>
  <c r="N80" i="5"/>
  <c r="M80" i="5"/>
  <c r="L80" i="5"/>
  <c r="E80" i="5"/>
  <c r="D80" i="5"/>
  <c r="C80" i="5"/>
  <c r="N78" i="5"/>
  <c r="M78" i="5"/>
  <c r="L78" i="5"/>
  <c r="E78" i="5"/>
  <c r="D78" i="5"/>
  <c r="C78" i="5"/>
  <c r="N77" i="5"/>
  <c r="M77" i="5"/>
  <c r="L77" i="5"/>
  <c r="E77" i="5"/>
  <c r="D77" i="5"/>
  <c r="C77" i="5"/>
  <c r="N76" i="5"/>
  <c r="M76" i="5"/>
  <c r="L76" i="5"/>
  <c r="E76" i="5"/>
  <c r="D76" i="5"/>
  <c r="C76" i="5"/>
  <c r="N75" i="5"/>
  <c r="M75" i="5"/>
  <c r="L75" i="5"/>
  <c r="E75" i="5"/>
  <c r="D75" i="5"/>
  <c r="C75" i="5"/>
  <c r="N72" i="5"/>
  <c r="M72" i="5"/>
  <c r="L72" i="5"/>
  <c r="E72" i="5"/>
  <c r="D72" i="5"/>
  <c r="C72" i="5"/>
  <c r="N71" i="5"/>
  <c r="M71" i="5"/>
  <c r="L71" i="5"/>
  <c r="E71" i="5"/>
  <c r="D71" i="5"/>
  <c r="C71" i="5"/>
  <c r="N69" i="5"/>
  <c r="M69" i="5"/>
  <c r="L69" i="5"/>
  <c r="E69" i="5"/>
  <c r="D69" i="5"/>
  <c r="C69" i="5"/>
  <c r="N68" i="5"/>
  <c r="M68" i="5"/>
  <c r="L68" i="5"/>
  <c r="E68" i="5"/>
  <c r="D68" i="5"/>
  <c r="C68" i="5"/>
  <c r="N67" i="5"/>
  <c r="M67" i="5"/>
  <c r="L67" i="5"/>
  <c r="E67" i="5"/>
  <c r="D67" i="5"/>
  <c r="C67" i="5"/>
  <c r="N66" i="5"/>
  <c r="M66" i="5"/>
  <c r="L66" i="5"/>
  <c r="E66" i="5"/>
  <c r="D66" i="5"/>
  <c r="C66" i="5"/>
  <c r="N65" i="5"/>
  <c r="M65" i="5"/>
  <c r="L65" i="5"/>
  <c r="E65" i="5"/>
  <c r="D65" i="5"/>
  <c r="C65" i="5"/>
  <c r="N64" i="5"/>
  <c r="M64" i="5"/>
  <c r="L64" i="5"/>
  <c r="E64" i="5"/>
  <c r="D64" i="5"/>
  <c r="C64" i="5"/>
  <c r="N63" i="5"/>
  <c r="M63" i="5"/>
  <c r="L63" i="5"/>
  <c r="E63" i="5"/>
  <c r="D63" i="5"/>
  <c r="C63" i="5"/>
  <c r="N62" i="5"/>
  <c r="M62" i="5"/>
  <c r="L62" i="5"/>
  <c r="E62" i="5"/>
  <c r="D62" i="5"/>
  <c r="C62" i="5"/>
  <c r="N61" i="5"/>
  <c r="M61" i="5"/>
  <c r="L61" i="5"/>
  <c r="E61" i="5"/>
  <c r="D61" i="5"/>
  <c r="C61" i="5"/>
  <c r="N60" i="5"/>
  <c r="M60" i="5"/>
  <c r="L60" i="5"/>
  <c r="E60" i="5"/>
  <c r="D60" i="5"/>
  <c r="C60" i="5"/>
  <c r="N59" i="5"/>
  <c r="M59" i="5"/>
  <c r="L59" i="5"/>
  <c r="E59" i="5"/>
  <c r="D59" i="5"/>
  <c r="C59" i="5"/>
  <c r="N58" i="5"/>
  <c r="M58" i="5"/>
  <c r="L58" i="5"/>
  <c r="E58" i="5"/>
  <c r="D58" i="5"/>
  <c r="C58" i="5"/>
  <c r="N55" i="5"/>
  <c r="M55" i="5"/>
  <c r="L55" i="5"/>
  <c r="E55" i="5"/>
  <c r="D55" i="5"/>
  <c r="C55" i="5"/>
  <c r="N53" i="5"/>
  <c r="M53" i="5"/>
  <c r="L53" i="5"/>
  <c r="E53" i="5"/>
  <c r="D53" i="5"/>
  <c r="C53" i="5"/>
  <c r="N52" i="5"/>
  <c r="M52" i="5"/>
  <c r="L52" i="5"/>
  <c r="E52" i="5"/>
  <c r="D52" i="5"/>
  <c r="C52" i="5"/>
  <c r="N51" i="5"/>
  <c r="M51" i="5"/>
  <c r="L51" i="5"/>
  <c r="E51" i="5"/>
  <c r="D51" i="5"/>
  <c r="C51" i="5"/>
  <c r="N50" i="5"/>
  <c r="M50" i="5"/>
  <c r="L50" i="5"/>
  <c r="E50" i="5"/>
  <c r="D50" i="5"/>
  <c r="C50" i="5"/>
  <c r="N49" i="5"/>
  <c r="M49" i="5"/>
  <c r="L49" i="5"/>
  <c r="E49" i="5"/>
  <c r="D49" i="5"/>
  <c r="C49" i="5"/>
  <c r="N48" i="5"/>
  <c r="M48" i="5"/>
  <c r="L48" i="5"/>
  <c r="E48" i="5"/>
  <c r="D48" i="5"/>
  <c r="C48" i="5"/>
  <c r="N47" i="5"/>
  <c r="M47" i="5"/>
  <c r="L47" i="5"/>
  <c r="E47" i="5"/>
  <c r="D47" i="5"/>
  <c r="C47" i="5"/>
  <c r="N46" i="5"/>
  <c r="M46" i="5"/>
  <c r="L46" i="5"/>
  <c r="E46" i="5"/>
  <c r="D46" i="5"/>
  <c r="C46" i="5"/>
  <c r="N45" i="5"/>
  <c r="M45" i="5"/>
  <c r="L45" i="5"/>
  <c r="E45" i="5"/>
  <c r="D45" i="5"/>
  <c r="C45" i="5"/>
  <c r="N44" i="5"/>
  <c r="M44" i="5"/>
  <c r="L44" i="5"/>
  <c r="E44" i="5"/>
  <c r="D44" i="5"/>
  <c r="C44" i="5"/>
  <c r="N43" i="5"/>
  <c r="M43" i="5"/>
  <c r="L43" i="5"/>
  <c r="E43" i="5"/>
  <c r="D43" i="5"/>
  <c r="C43" i="5"/>
  <c r="N42" i="5"/>
  <c r="M42" i="5"/>
  <c r="L42" i="5"/>
  <c r="E42" i="5"/>
  <c r="D42" i="5"/>
  <c r="C42" i="5"/>
  <c r="N41" i="5"/>
  <c r="M41" i="5"/>
  <c r="L41" i="5"/>
  <c r="E41" i="5"/>
  <c r="D41" i="5"/>
  <c r="C41" i="5"/>
  <c r="N40" i="5"/>
  <c r="M40" i="5"/>
  <c r="L40" i="5"/>
  <c r="E40" i="5"/>
  <c r="D40" i="5"/>
  <c r="C40" i="5"/>
  <c r="N37" i="5"/>
  <c r="M37" i="5"/>
  <c r="L37" i="5"/>
  <c r="E37" i="5"/>
  <c r="D37" i="5"/>
  <c r="C37" i="5"/>
  <c r="N35" i="5"/>
  <c r="M35" i="5"/>
  <c r="L35" i="5"/>
  <c r="E35" i="5"/>
  <c r="D35" i="5"/>
  <c r="C35" i="5"/>
  <c r="N34" i="5"/>
  <c r="M34" i="5"/>
  <c r="L34" i="5"/>
  <c r="E34" i="5"/>
  <c r="D34" i="5"/>
  <c r="C34" i="5"/>
  <c r="N33" i="5"/>
  <c r="M33" i="5"/>
  <c r="L33" i="5"/>
  <c r="E33" i="5"/>
  <c r="D33" i="5"/>
  <c r="C33" i="5"/>
  <c r="N32" i="5"/>
  <c r="M32" i="5"/>
  <c r="L32" i="5"/>
  <c r="E32" i="5"/>
  <c r="D32" i="5"/>
  <c r="C32" i="5"/>
  <c r="N31" i="5"/>
  <c r="M31" i="5"/>
  <c r="L31" i="5"/>
  <c r="E31" i="5"/>
  <c r="D31" i="5"/>
  <c r="C31" i="5"/>
  <c r="N30" i="5"/>
  <c r="M30" i="5"/>
  <c r="L30" i="5"/>
  <c r="E30" i="5"/>
  <c r="D30" i="5"/>
  <c r="C30" i="5"/>
  <c r="N29" i="5"/>
  <c r="M29" i="5"/>
  <c r="L29" i="5"/>
  <c r="E29" i="5"/>
  <c r="D29" i="5"/>
  <c r="C29" i="5"/>
  <c r="N28" i="5"/>
  <c r="M28" i="5"/>
  <c r="L28" i="5"/>
  <c r="E28" i="5"/>
  <c r="D28" i="5"/>
  <c r="C28" i="5"/>
  <c r="N27" i="5"/>
  <c r="M27" i="5"/>
  <c r="L27" i="5"/>
  <c r="E27" i="5"/>
  <c r="D27" i="5"/>
  <c r="C27" i="5"/>
  <c r="N26" i="5"/>
  <c r="M26" i="5"/>
  <c r="L26" i="5"/>
  <c r="E26" i="5"/>
  <c r="D26" i="5"/>
  <c r="C26" i="5"/>
  <c r="N23" i="5"/>
  <c r="M23" i="5"/>
  <c r="L23" i="5"/>
  <c r="E23" i="5"/>
  <c r="D23" i="5"/>
  <c r="C23" i="5"/>
  <c r="N22" i="5"/>
  <c r="M22" i="5"/>
  <c r="L22" i="5"/>
  <c r="E22" i="5"/>
  <c r="D22" i="5"/>
  <c r="C22" i="5"/>
  <c r="N21" i="5"/>
  <c r="M21" i="5"/>
  <c r="L21" i="5"/>
  <c r="E21" i="5"/>
  <c r="D21" i="5"/>
  <c r="C21" i="5"/>
  <c r="N19" i="5"/>
  <c r="M19" i="5"/>
  <c r="L19" i="5"/>
  <c r="E19" i="5"/>
  <c r="D19" i="5"/>
  <c r="C19" i="5"/>
  <c r="N18" i="5"/>
  <c r="M18" i="5"/>
  <c r="L18" i="5"/>
  <c r="E18" i="5"/>
  <c r="D18" i="5"/>
  <c r="C18" i="5"/>
  <c r="N15" i="5"/>
  <c r="M15" i="5"/>
  <c r="L15" i="5"/>
  <c r="E15" i="5"/>
  <c r="D15" i="5"/>
  <c r="C15" i="5"/>
  <c r="N14" i="5"/>
  <c r="M14" i="5"/>
  <c r="L14" i="5"/>
  <c r="E14" i="5"/>
  <c r="D14" i="5"/>
  <c r="C14" i="5"/>
  <c r="N12" i="5"/>
  <c r="M12" i="5"/>
  <c r="L12" i="5"/>
  <c r="E12" i="5"/>
  <c r="D12" i="5"/>
  <c r="C12" i="5"/>
  <c r="N11" i="5"/>
  <c r="M11" i="5"/>
  <c r="L11" i="5"/>
  <c r="E11" i="5"/>
  <c r="D11" i="5"/>
  <c r="C11" i="5"/>
  <c r="N10" i="5"/>
  <c r="M10" i="5"/>
  <c r="L10" i="5"/>
  <c r="E10" i="5"/>
  <c r="D10" i="5"/>
  <c r="C10" i="5"/>
  <c r="N9" i="5"/>
  <c r="M9" i="5"/>
  <c r="L9" i="5"/>
  <c r="E9" i="5"/>
  <c r="D9" i="5"/>
  <c r="C9" i="5"/>
  <c r="N8" i="5"/>
  <c r="M8" i="5"/>
  <c r="L8" i="5"/>
  <c r="E8" i="5"/>
  <c r="D8" i="5"/>
  <c r="C8" i="5"/>
  <c r="N7" i="5"/>
  <c r="M7" i="5"/>
  <c r="L7" i="5"/>
  <c r="E7" i="5"/>
  <c r="D7" i="5"/>
  <c r="C7" i="5"/>
  <c r="N6" i="5"/>
  <c r="M6" i="5"/>
  <c r="L6" i="5"/>
  <c r="E6" i="5"/>
  <c r="D6" i="5"/>
  <c r="C6" i="5"/>
  <c r="N4" i="5"/>
  <c r="M4" i="5"/>
  <c r="L4" i="5"/>
  <c r="E4" i="5"/>
  <c r="D4" i="5"/>
  <c r="C4" i="5"/>
  <c r="N3" i="5"/>
  <c r="M3" i="5"/>
  <c r="L3" i="5"/>
  <c r="E3" i="5"/>
  <c r="D3" i="5"/>
  <c r="C3" i="5"/>
  <c r="T41" i="4"/>
  <c r="S41" i="4"/>
  <c r="R41" i="4"/>
  <c r="Q41" i="4"/>
  <c r="P41" i="4"/>
  <c r="O41" i="4"/>
  <c r="N41" i="4"/>
  <c r="M41" i="4"/>
  <c r="L41" i="4"/>
  <c r="K41" i="4"/>
  <c r="J41" i="4"/>
  <c r="I41" i="4"/>
  <c r="T40" i="4"/>
  <c r="S40" i="4"/>
  <c r="R40" i="4"/>
  <c r="Q40" i="4"/>
  <c r="P40" i="4"/>
  <c r="O40" i="4"/>
  <c r="N40" i="4"/>
  <c r="M40" i="4"/>
  <c r="L40" i="4"/>
  <c r="K40" i="4"/>
  <c r="J40" i="4"/>
  <c r="I40" i="4"/>
  <c r="T39" i="4"/>
  <c r="S39" i="4"/>
  <c r="R39" i="4"/>
  <c r="Q39" i="4"/>
  <c r="P39" i="4"/>
  <c r="O39" i="4"/>
  <c r="N39" i="4"/>
  <c r="M39" i="4"/>
  <c r="L39" i="4"/>
  <c r="K39" i="4"/>
  <c r="J39" i="4"/>
  <c r="I39" i="4"/>
  <c r="T38" i="4"/>
  <c r="S38" i="4"/>
  <c r="R38" i="4"/>
  <c r="Q38" i="4"/>
  <c r="P38" i="4"/>
  <c r="O38" i="4"/>
  <c r="N38" i="4"/>
  <c r="M38" i="4"/>
  <c r="L38" i="4"/>
  <c r="K38" i="4"/>
  <c r="J38" i="4"/>
  <c r="I38" i="4"/>
  <c r="T37" i="4"/>
  <c r="S37" i="4"/>
  <c r="R37" i="4"/>
  <c r="Q37" i="4"/>
  <c r="P37" i="4"/>
  <c r="O37" i="4"/>
  <c r="N37" i="4"/>
  <c r="M37" i="4"/>
  <c r="L37" i="4"/>
  <c r="K37" i="4"/>
  <c r="J37" i="4"/>
  <c r="I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T29" i="4"/>
  <c r="S29" i="4"/>
  <c r="R29" i="4"/>
  <c r="Q29" i="4"/>
  <c r="P29" i="4"/>
  <c r="O29" i="4"/>
  <c r="N29" i="4"/>
  <c r="M29" i="4"/>
  <c r="L29" i="4"/>
  <c r="K29" i="4"/>
  <c r="J29" i="4"/>
  <c r="I29" i="4"/>
  <c r="N28" i="4"/>
  <c r="M28" i="4"/>
  <c r="J28" i="4"/>
  <c r="I28" i="4"/>
  <c r="T27" i="4"/>
  <c r="S27" i="4"/>
  <c r="R27" i="4"/>
  <c r="Q27" i="4"/>
  <c r="P27" i="4"/>
  <c r="O27" i="4"/>
  <c r="N27" i="4"/>
  <c r="M27" i="4"/>
  <c r="L27" i="4"/>
  <c r="K27" i="4"/>
  <c r="J27" i="4"/>
  <c r="I27" i="4"/>
  <c r="T26" i="4"/>
  <c r="S26" i="4"/>
  <c r="R26" i="4"/>
  <c r="Q26" i="4"/>
  <c r="P26" i="4"/>
  <c r="O26" i="4"/>
  <c r="N26" i="4"/>
  <c r="M26" i="4"/>
  <c r="L26" i="4"/>
  <c r="K26" i="4"/>
  <c r="J26" i="4"/>
  <c r="I26" i="4"/>
  <c r="T25" i="4"/>
  <c r="S25" i="4"/>
  <c r="R25" i="4"/>
  <c r="Q25" i="4"/>
  <c r="P25" i="4"/>
  <c r="O25" i="4"/>
  <c r="N25" i="4"/>
  <c r="M25" i="4"/>
  <c r="L25" i="4"/>
  <c r="K25" i="4"/>
  <c r="J25" i="4"/>
  <c r="I25" i="4"/>
  <c r="T24" i="4"/>
  <c r="S24" i="4"/>
  <c r="R24" i="4"/>
  <c r="Q24" i="4"/>
  <c r="P24" i="4"/>
  <c r="O24" i="4"/>
  <c r="N24" i="4"/>
  <c r="M24" i="4"/>
  <c r="L24" i="4"/>
  <c r="K24" i="4"/>
  <c r="J24" i="4"/>
  <c r="I24" i="4"/>
  <c r="T23" i="4"/>
  <c r="S23" i="4"/>
  <c r="R23" i="4"/>
  <c r="Q23" i="4"/>
  <c r="P23" i="4"/>
  <c r="O23" i="4"/>
  <c r="N23" i="4"/>
  <c r="M23" i="4"/>
  <c r="L23" i="4"/>
  <c r="K23" i="4"/>
  <c r="J23" i="4"/>
  <c r="I23" i="4"/>
  <c r="T22" i="4"/>
  <c r="S22" i="4"/>
  <c r="R22" i="4"/>
  <c r="Q22" i="4"/>
  <c r="P22" i="4"/>
  <c r="O22" i="4"/>
  <c r="N22" i="4"/>
  <c r="M22" i="4"/>
  <c r="L22" i="4"/>
  <c r="K22" i="4"/>
  <c r="J22" i="4"/>
  <c r="I22" i="4"/>
  <c r="T21" i="4"/>
  <c r="S21" i="4"/>
  <c r="R21" i="4"/>
  <c r="Q21" i="4"/>
  <c r="P21" i="4"/>
  <c r="O21" i="4"/>
  <c r="N21" i="4"/>
  <c r="M21" i="4"/>
  <c r="L21" i="4"/>
  <c r="K21" i="4"/>
  <c r="J21" i="4"/>
  <c r="I21" i="4"/>
  <c r="T20" i="4"/>
  <c r="S20" i="4"/>
  <c r="R20" i="4"/>
  <c r="Q20" i="4"/>
  <c r="P20" i="4"/>
  <c r="O20" i="4"/>
  <c r="N20" i="4"/>
  <c r="M20" i="4"/>
  <c r="L20" i="4"/>
  <c r="K20" i="4"/>
  <c r="J20" i="4"/>
  <c r="I20" i="4"/>
  <c r="N19" i="4"/>
  <c r="M19" i="4"/>
  <c r="L19" i="4"/>
  <c r="K19" i="4"/>
  <c r="J19" i="4"/>
  <c r="I19" i="4"/>
  <c r="H19" i="4"/>
  <c r="G19" i="4"/>
  <c r="F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R17" i="4"/>
  <c r="Q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N13" i="4"/>
  <c r="M13" i="4"/>
  <c r="L13" i="4"/>
  <c r="K13" i="4"/>
  <c r="J13" i="4"/>
  <c r="I13" i="4"/>
  <c r="H13" i="4"/>
  <c r="G13" i="4"/>
  <c r="F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N9" i="4"/>
  <c r="M9" i="4"/>
  <c r="L9" i="4"/>
  <c r="K9" i="4"/>
  <c r="J9" i="4"/>
  <c r="I9" i="4"/>
  <c r="H9" i="4"/>
  <c r="G9" i="4"/>
  <c r="F9" i="4"/>
  <c r="E9" i="4"/>
  <c r="D9" i="4"/>
  <c r="C9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N6" i="4"/>
  <c r="M6" i="4"/>
  <c r="L6" i="4"/>
  <c r="K6" i="4"/>
  <c r="J6" i="4"/>
  <c r="I6" i="4"/>
  <c r="H6" i="4"/>
  <c r="G6" i="4"/>
  <c r="F6" i="4"/>
  <c r="E6" i="4"/>
  <c r="D6" i="4"/>
  <c r="C6" i="4"/>
</calcChain>
</file>

<file path=xl/sharedStrings.xml><?xml version="1.0" encoding="utf-8"?>
<sst xmlns="http://schemas.openxmlformats.org/spreadsheetml/2006/main" count="2641" uniqueCount="750">
  <si>
    <t>TargetEcon — Measure Reference: Groups, Definitions and Retention Classes</t>
  </si>
  <si>
    <t>Reference sheet for all other sheets. Retention type determines how much of the gross N effect reaches the coastal zone.</t>
  </si>
  <si>
    <t>Measure Code</t>
  </si>
  <si>
    <t>Full Name (EN)</t>
  </si>
  <si>
    <t>Measure Group</t>
  </si>
  <si>
    <t>Type</t>
  </si>
  <si>
    <t>Retention
Class</t>
  </si>
  <si>
    <t>Retention description</t>
  </si>
  <si>
    <t>Area unit</t>
  </si>
  <si>
    <t xml:space="preserve">  Temp N measures</t>
  </si>
  <si>
    <t>CCS</t>
  </si>
  <si>
    <t>Catch crops (spring)</t>
  </si>
  <si>
    <t>Temp N measures</t>
  </si>
  <si>
    <t>Temporary</t>
  </si>
  <si>
    <t>TR</t>
  </si>
  <si>
    <t>Total retention — full landscape N retention applied</t>
  </si>
  <si>
    <t>ha</t>
  </si>
  <si>
    <t>CCW</t>
  </si>
  <si>
    <t>Catch crops (winter)</t>
  </si>
  <si>
    <t>EC</t>
  </si>
  <si>
    <t>Energy crops</t>
  </si>
  <si>
    <t>IC</t>
  </si>
  <si>
    <t>Intermediate crops</t>
  </si>
  <si>
    <t>EW</t>
  </si>
  <si>
    <t>Early sowing / extended winter cover</t>
  </si>
  <si>
    <t>N10</t>
  </si>
  <si>
    <t>N norm reduction 10%</t>
  </si>
  <si>
    <t>N20</t>
  </si>
  <si>
    <t>N norm reduction 20%</t>
  </si>
  <si>
    <t>SA</t>
  </si>
  <si>
    <t>Temporary set-aside (Kortvarig brak)</t>
  </si>
  <si>
    <t xml:space="preserve">  Perm N measures</t>
  </si>
  <si>
    <t>FO</t>
  </si>
  <si>
    <t>Afforestation (Skovrejsning)</t>
  </si>
  <si>
    <t>Perm N measures</t>
  </si>
  <si>
    <t>Permanent</t>
  </si>
  <si>
    <t>LRl</t>
  </si>
  <si>
    <t>Land retirement, low-lying / organic soils (Lavbund)</t>
  </si>
  <si>
    <t>NR</t>
  </si>
  <si>
    <t>No retention — full gross N effect credited</t>
  </si>
  <si>
    <t>LRh</t>
  </si>
  <si>
    <t>Land retirement, mineral soils (Højbund)</t>
  </si>
  <si>
    <t>BZ10</t>
  </si>
  <si>
    <t>Buffer zone 10 m</t>
  </si>
  <si>
    <t>SR</t>
  </si>
  <si>
    <t>Surface retention — only surface-flow retention applied</t>
  </si>
  <si>
    <t>BZ20</t>
  </si>
  <si>
    <t>Buffer zone 20 m</t>
  </si>
  <si>
    <t>WL</t>
  </si>
  <si>
    <t>Constructed wetland</t>
  </si>
  <si>
    <t xml:space="preserve">  P measures</t>
  </si>
  <si>
    <t>PPC</t>
  </si>
  <si>
    <t>Permanent plant cover (Permanent plantedække)</t>
  </si>
  <si>
    <t>P measures</t>
  </si>
  <si>
    <t>—</t>
  </si>
  <si>
    <t>Not applicable (P measure or infrastructure)</t>
  </si>
  <si>
    <t>NPB10</t>
  </si>
  <si>
    <t>Negative P balance 10 kg/ha</t>
  </si>
  <si>
    <t>NPB20</t>
  </si>
  <si>
    <t>Negative P balance 20 kg/ha</t>
  </si>
  <si>
    <t>OT</t>
  </si>
  <si>
    <t>Optimized tillage (Optimering af jordbearbejdning)</t>
  </si>
  <si>
    <t>PWET</t>
  </si>
  <si>
    <t>P wetland</t>
  </si>
  <si>
    <t>IBZ</t>
  </si>
  <si>
    <t>Intelligent buffer zones</t>
  </si>
  <si>
    <t xml:space="preserve">  Combined N+P</t>
  </si>
  <si>
    <t>PPC_NPB10</t>
  </si>
  <si>
    <t>Permanent plant cover + Neg. P balance 10</t>
  </si>
  <si>
    <t>Combined N+P</t>
  </si>
  <si>
    <t>PPC_NPB20</t>
  </si>
  <si>
    <t>Permanent plant cover + Neg. P balance 20</t>
  </si>
  <si>
    <t>NPB10_OT</t>
  </si>
  <si>
    <t>Neg. P balance 10 + Optimized tillage</t>
  </si>
  <si>
    <t>NPB20_OT</t>
  </si>
  <si>
    <t>Neg. P balance 20 + Optimized tillage</t>
  </si>
  <si>
    <t>NPB10_BZ10</t>
  </si>
  <si>
    <t>Neg. P balance 10 + Buffer zone 10 m</t>
  </si>
  <si>
    <t>NPB10_BZ20</t>
  </si>
  <si>
    <t>Neg. P balance 10 + Buffer zone 20 m</t>
  </si>
  <si>
    <t>NPB20_BZ10</t>
  </si>
  <si>
    <t>Neg. P balance 20 + Buffer zone 10 m</t>
  </si>
  <si>
    <t>NPB20_BZ20</t>
  </si>
  <si>
    <t>Neg. P balance 20 + Buffer zone 20 m</t>
  </si>
  <si>
    <t xml:space="preserve">  Infrastructure</t>
  </si>
  <si>
    <t>MW(VP3)</t>
  </si>
  <si>
    <t>Mini-wetland (VP3 new)</t>
  </si>
  <si>
    <t>Infrastructure</t>
  </si>
  <si>
    <t>SR (ID15)</t>
  </si>
  <si>
    <t>Surface retention at ID15 sub-catchment level (added Dec 2024)</t>
  </si>
  <si>
    <t>units</t>
  </si>
  <si>
    <t>WWT</t>
  </si>
  <si>
    <t>Wastewater treatment plant upgrade</t>
  </si>
  <si>
    <t>Overflow</t>
  </si>
  <si>
    <t>Combined sewer overflow treatment</t>
  </si>
  <si>
    <t>Trees</t>
  </si>
  <si>
    <t>Trees on erosion stretches (km)</t>
  </si>
  <si>
    <t>km</t>
  </si>
  <si>
    <t>Sand</t>
  </si>
  <si>
    <t>Sand traps</t>
  </si>
  <si>
    <t>ochre</t>
  </si>
  <si>
    <t>Ochre traps</t>
  </si>
  <si>
    <t>raising</t>
  </si>
  <si>
    <t>Stream raising (hævning)</t>
  </si>
  <si>
    <t>re_meandering</t>
  </si>
  <si>
    <t>Stream re-meandering</t>
  </si>
  <si>
    <t xml:space="preserve">  Retention Class Key</t>
  </si>
  <si>
    <t>TargetEcon — National Results: Impact of Retention &amp; Differentiation Updates</t>
  </si>
  <si>
    <t>Annual costs (DKK/yr), reductions and cost-effectiveness by target scope and model version</t>
  </si>
  <si>
    <t>Target
Scope</t>
  </si>
  <si>
    <t>Version</t>
  </si>
  <si>
    <t>Total Cost
(DKK/yr)</t>
  </si>
  <si>
    <t>Δ Cost vs Old
(DKK/yr)</t>
  </si>
  <si>
    <t>Δ Cost vs Old
(%)</t>
  </si>
  <si>
    <t>Δ New+Diff
vs New (DKK/yr)</t>
  </si>
  <si>
    <t>Δ New+Diff
vs New (%)</t>
  </si>
  <si>
    <t>N Reduced
(kg N/yr)</t>
  </si>
  <si>
    <t>P Reduced
(kg P/yr)</t>
  </si>
  <si>
    <t>Total Area
(ha)</t>
  </si>
  <si>
    <t>DKK/
kg N</t>
  </si>
  <si>
    <t>DKK/
kg P</t>
  </si>
  <si>
    <t>N Only</t>
  </si>
  <si>
    <t>Old Retention</t>
  </si>
  <si>
    <t>New Retention</t>
  </si>
  <si>
    <t>New Ret. + Diff.</t>
  </si>
  <si>
    <t>N+P</t>
  </si>
  <si>
    <t>P Only</t>
  </si>
  <si>
    <t>Annual Cost by Measure Group — All Scenarios and Versions (DKK/yr)</t>
  </si>
  <si>
    <t>Target Scope</t>
  </si>
  <si>
    <t>DKK/yr</t>
  </si>
  <si>
    <t>Other</t>
  </si>
  <si>
    <t>TOTAL — N Only</t>
  </si>
  <si>
    <t>TOTAL — N+P</t>
  </si>
  <si>
    <t>TOTAL — P Only</t>
  </si>
  <si>
    <t>Measure-Level Cost and Area — All Scenarios and Versions  [cells with underline link to source file]</t>
  </si>
  <si>
    <t>Cost in DKK/yr | Area in ha (or units for infrastructure measures). Click a value cell to open the source workbook at that exact cell.</t>
  </si>
  <si>
    <t>Measure</t>
  </si>
  <si>
    <t>Cost (DKK/yr)</t>
  </si>
  <si>
    <t>Area (ha/units)</t>
  </si>
  <si>
    <t xml:space="preserve">  Scenario: N Only  |  Underlined values link directly to source file cell</t>
  </si>
  <si>
    <t>kyst</t>
  </si>
  <si>
    <t>Coastal Catchment Name</t>
  </si>
  <si>
    <t>Old Retention
Cost (DKK/yr)</t>
  </si>
  <si>
    <t>New Retention
Cost (DKK/yr)</t>
  </si>
  <si>
    <t>New+Diff
Cost (DKK/yr)</t>
  </si>
  <si>
    <t>Δ New vs Old
(DKK/yr)</t>
  </si>
  <si>
    <t>Δ New vs Old
(%)</t>
  </si>
  <si>
    <t>Δ New+Diff vs Old
(DKK/yr)</t>
  </si>
  <si>
    <t>Δ New+Diff vs Old
(%)</t>
  </si>
  <si>
    <t>Δ New+Diff vs New
(DKK/yr)</t>
  </si>
  <si>
    <t>Δ New+Diff vs New
(%)</t>
  </si>
  <si>
    <t>N Red Old
(ton/yr)</t>
  </si>
  <si>
    <t>N Red New
(ton/yr)</t>
  </si>
  <si>
    <t>N Red New+Diff
(ton/yr)</t>
  </si>
  <si>
    <t>Roskilde Fjord, ydre</t>
  </si>
  <si>
    <t>Roskilde Fjord, indre</t>
  </si>
  <si>
    <t>Nordlige Øresund</t>
  </si>
  <si>
    <t>Korsør Nor</t>
  </si>
  <si>
    <t>Basnæs Nor</t>
  </si>
  <si>
    <t>Holsteinborg Nor</t>
  </si>
  <si>
    <t>Isefjord, ydre</t>
  </si>
  <si>
    <t>Skælskør Fjord og Nor</t>
  </si>
  <si>
    <t>Sejerø Bugt</t>
  </si>
  <si>
    <t>Kalundborg Fjord</t>
  </si>
  <si>
    <t>Smålandsfarvandet, syd</t>
  </si>
  <si>
    <t>Karrebæk Fjord</t>
  </si>
  <si>
    <t>Dybsø Fjord</t>
  </si>
  <si>
    <t>Avnø Fjord</t>
  </si>
  <si>
    <t>Guldborgsund</t>
  </si>
  <si>
    <t>Hjelm Bugt</t>
  </si>
  <si>
    <t>Grønsund</t>
  </si>
  <si>
    <t>Fakse Bugt</t>
  </si>
  <si>
    <t>Præstø Fjord</t>
  </si>
  <si>
    <t>Stege Bugt</t>
  </si>
  <si>
    <t>Stege Nor</t>
  </si>
  <si>
    <t>Østersøen, Bornholm</t>
  </si>
  <si>
    <t>Østersøen, Christiansø</t>
  </si>
  <si>
    <t>Nærå Strand</t>
  </si>
  <si>
    <t>Lillestrand</t>
  </si>
  <si>
    <t>Lindelse Nor</t>
  </si>
  <si>
    <t>Kløven</t>
  </si>
  <si>
    <t>Bredningen</t>
  </si>
  <si>
    <t>Gamborg Fjord</t>
  </si>
  <si>
    <t>Aborg Minde Nor</t>
  </si>
  <si>
    <t>Holckenhavn Fjord</t>
  </si>
  <si>
    <t>Kerteminde Fjord</t>
  </si>
  <si>
    <t>Kertinge Nor</t>
  </si>
  <si>
    <t>Nyborg Fjord</t>
  </si>
  <si>
    <t>Helnæs Bugt</t>
  </si>
  <si>
    <t>Lunkebugten</t>
  </si>
  <si>
    <t>Langelandssund</t>
  </si>
  <si>
    <t>Odense Fjord, ydre</t>
  </si>
  <si>
    <t>Odense Fjord, Seden Strand</t>
  </si>
  <si>
    <t>Storebælt, SV</t>
  </si>
  <si>
    <t>Storebælt, NV</t>
  </si>
  <si>
    <t>Genner Bugt</t>
  </si>
  <si>
    <t>Åbenrå Fjord</t>
  </si>
  <si>
    <t>Als Fjord</t>
  </si>
  <si>
    <t>Als Sund</t>
  </si>
  <si>
    <t>Augustenborg Fjord</t>
  </si>
  <si>
    <t>Haderslev Fjord</t>
  </si>
  <si>
    <t>Juvre Dyb</t>
  </si>
  <si>
    <t>Avnø Vig</t>
  </si>
  <si>
    <t>Hejlsminde Nor</t>
  </si>
  <si>
    <t>Nybøl Nor</t>
  </si>
  <si>
    <t>Lister Dyb</t>
  </si>
  <si>
    <t>Flensborg Fjord, indre</t>
  </si>
  <si>
    <t>Flensborg Fjord, ydre</t>
  </si>
  <si>
    <t>Vesterhavet, syd</t>
  </si>
  <si>
    <t>Knudedyb</t>
  </si>
  <si>
    <t>Grådyb</t>
  </si>
  <si>
    <t>Vejle Fjord, ydre</t>
  </si>
  <si>
    <t>Vejle Fjord, indre</t>
  </si>
  <si>
    <t>Kolding Fjord, indre</t>
  </si>
  <si>
    <t>Kolding Fjord, ydre</t>
  </si>
  <si>
    <t>Horsens Fjord, ydre</t>
  </si>
  <si>
    <t>Horsens Fjord, indre</t>
  </si>
  <si>
    <t>Nissum Fjord, ydre</t>
  </si>
  <si>
    <t>Nissum Fjord, mellem</t>
  </si>
  <si>
    <t>Nissum Fjord, Felsted Kog</t>
  </si>
  <si>
    <t>Ringkøbing Fjord</t>
  </si>
  <si>
    <t>Vesterhavet, nord</t>
  </si>
  <si>
    <t>Randers Fjord, indre</t>
  </si>
  <si>
    <t>Randers Fjord, ydre</t>
  </si>
  <si>
    <t>Hevring Bugt</t>
  </si>
  <si>
    <t>Anholt</t>
  </si>
  <si>
    <t>Djursland Øst</t>
  </si>
  <si>
    <t>Ebeltoft Vig</t>
  </si>
  <si>
    <t>Stavns Fjord</t>
  </si>
  <si>
    <t>Knebel Vig</t>
  </si>
  <si>
    <t>Kalø Vig</t>
  </si>
  <si>
    <t>Norsminde Fjord</t>
  </si>
  <si>
    <t>Århus Bugt og Begtrup Vig</t>
  </si>
  <si>
    <t>Kattegat, Læsø</t>
  </si>
  <si>
    <t>Bjørnholms Bugt, Riisgårde Bredning, Skive Fjord og Lovns Bredning</t>
  </si>
  <si>
    <t>Hjarbæk Fjord</t>
  </si>
  <si>
    <t>Mariager Fjord, indre</t>
  </si>
  <si>
    <t>Mariager Fjord, ydre</t>
  </si>
  <si>
    <t>Isefjord, indre</t>
  </si>
  <si>
    <t>Kattegat, Nordsjælland</t>
  </si>
  <si>
    <t>Køge Bugt</t>
  </si>
  <si>
    <t>Jammerland Bugt og Musholm Bugt</t>
  </si>
  <si>
    <t>Smålandsfarvandet, åbne del</t>
  </si>
  <si>
    <t>Nakskov Fjord</t>
  </si>
  <si>
    <t>Femerbælt</t>
  </si>
  <si>
    <t>Rødsand og Bredningen</t>
  </si>
  <si>
    <t>Faaborg Fjord</t>
  </si>
  <si>
    <t>Det sydfynske Øhav</t>
  </si>
  <si>
    <t>Lillebælt, syd</t>
  </si>
  <si>
    <t>Lillebælt, Bredningen</t>
  </si>
  <si>
    <t>Århus Bugt syd, Samsø og Nordlige Bælthav</t>
  </si>
  <si>
    <t>Skagerrak</t>
  </si>
  <si>
    <t>Kattegat, Aalborg Bugt</t>
  </si>
  <si>
    <t>Nordlige Lillebælt</t>
  </si>
  <si>
    <t>Nordlige Kattegat, Ålbæk Bugt</t>
  </si>
  <si>
    <t>Lillebælt, Snævringen</t>
  </si>
  <si>
    <t>Nissum Bredning</t>
  </si>
  <si>
    <t>Kås Bredning og Venø Bugt</t>
  </si>
  <si>
    <t>Løgstør Bredning</t>
  </si>
  <si>
    <t>Nibe Bredning og Langerak</t>
  </si>
  <si>
    <t>Thisted Bredning</t>
  </si>
  <si>
    <t>Halkær Bredning</t>
  </si>
  <si>
    <t>NATIONAL TOTAL — N Only</t>
  </si>
  <si>
    <t xml:space="preserve">  Scenario: N+P  |  Underlined values link directly to source file cell</t>
  </si>
  <si>
    <t>NATIONAL TOTAL — N+P</t>
  </si>
  <si>
    <t xml:space="preserve">  Scenario: P Only  |  Underlined values link directly to source file cell</t>
  </si>
  <si>
    <t>NATIONAL TOTAL — P Only</t>
  </si>
  <si>
    <t>Coastal Catchments — Area Used by Key N Measures (ha / units)  [underlined = click to open source cell]</t>
  </si>
  <si>
    <t>Each block: Old | New | New+Diff — then Δ New vs Old | Δ New+Diff vs Old.  Green = decrease, Red = increase.</t>
  </si>
  <si>
    <t>FO  [Perm N]</t>
  </si>
  <si>
    <t>CCS  [Temp N]</t>
  </si>
  <si>
    <t>EC  [Temp N]</t>
  </si>
  <si>
    <t>LRh  [Perm N]</t>
  </si>
  <si>
    <t>WL  [Perm N]</t>
  </si>
  <si>
    <t>MW(VP3)  [Infra]</t>
  </si>
  <si>
    <t>BZ20  [Perm N]</t>
  </si>
  <si>
    <t>EW  [Temp N]</t>
  </si>
  <si>
    <t>LRl  [Perm N]</t>
  </si>
  <si>
    <t>SA  [Temp N]</t>
  </si>
  <si>
    <t>NPB20_BZ10  [Comb.]</t>
  </si>
  <si>
    <t>WWT  [Infra]</t>
  </si>
  <si>
    <t>Afforestation  (ha)</t>
  </si>
  <si>
    <t>Catch crops (spring)  (ha)</t>
  </si>
  <si>
    <t>Energy crops  (ha)</t>
  </si>
  <si>
    <t>Land retirement (mineral)  (ha)</t>
  </si>
  <si>
    <t>Constructed wetland  (ha)</t>
  </si>
  <si>
    <t>Mini-wetland (VP3)  (no.)</t>
  </si>
  <si>
    <t>Buffer zone 20 m  (ha)</t>
  </si>
  <si>
    <t>Early sowing  (ha)</t>
  </si>
  <si>
    <t>Land retirement (low-lying)  (ha)</t>
  </si>
  <si>
    <t>Temporary set-aside  (ha)</t>
  </si>
  <si>
    <t>NPB20 + Buffer 10 m  (ha)</t>
  </si>
  <si>
    <t>WWT upgrade  (no.)</t>
  </si>
  <si>
    <t>Old</t>
  </si>
  <si>
    <t>New</t>
  </si>
  <si>
    <t>New+Diff</t>
  </si>
  <si>
    <t>Δ New</t>
  </si>
  <si>
    <t>Δ N+D</t>
  </si>
  <si>
    <t xml:space="preserve">  Scenario: N Only</t>
  </si>
  <si>
    <t xml:space="preserve">  Scenario: N+P</t>
  </si>
  <si>
    <t xml:space="preserve">  Scenario: P Only</t>
  </si>
  <si>
    <t>Lake Catchments — Area Used by Key P Measures (ha / m / units)  [underlined = click to open source cell]</t>
  </si>
  <si>
    <t>Each block: Old | New | New+Diff — then Δ New vs Old | Δ New+Diff vs Old. Green = decrease, Red = increase.</t>
  </si>
  <si>
    <t>PWET  [P]</t>
  </si>
  <si>
    <t>Trees (m)  [Infra]</t>
  </si>
  <si>
    <t>NPB20  [P]</t>
  </si>
  <si>
    <t>NPB20_OT  [Comb.]</t>
  </si>
  <si>
    <t>NPB20_BZ20  [Comb.]</t>
  </si>
  <si>
    <t>PPC  [P]</t>
  </si>
  <si>
    <t>IBZ  [P]</t>
  </si>
  <si>
    <t>P wetland  (ha)</t>
  </si>
  <si>
    <t>Trees on erosion stretches  (m)</t>
  </si>
  <si>
    <t>Neg. P balance 20 kg/ha  (ha)</t>
  </si>
  <si>
    <t>NPB20 + Opt. tillage  (ha)</t>
  </si>
  <si>
    <t>NPB20 + Buffer 20 m  (ha)</t>
  </si>
  <si>
    <t>Permanent plant cover  (ha)</t>
  </si>
  <si>
    <t>Intelligent buffer zones  (ha)</t>
  </si>
  <si>
    <t>Lake</t>
  </si>
  <si>
    <t>Lake Catchment Name</t>
  </si>
  <si>
    <t>Vandet Sø</t>
  </si>
  <si>
    <t>Barnsø</t>
  </si>
  <si>
    <t>Bønstrup Sø</t>
  </si>
  <si>
    <t>Fidde Sø</t>
  </si>
  <si>
    <t>Filsø - Mellemsø</t>
  </si>
  <si>
    <t>Filsø - Søndersø</t>
  </si>
  <si>
    <t>Grærup Langsø</t>
  </si>
  <si>
    <t>Jels Midtsø</t>
  </si>
  <si>
    <t>Jels Nedersø</t>
  </si>
  <si>
    <t>Jels Oversø</t>
  </si>
  <si>
    <t>Karlsgårde Sø</t>
  </si>
  <si>
    <t>Kvie Sø</t>
  </si>
  <si>
    <t>Lakolk Sø</t>
  </si>
  <si>
    <t>Marbæk Sø - Vest</t>
  </si>
  <si>
    <t>Munkesø</t>
  </si>
  <si>
    <t>Nørrekær</t>
  </si>
  <si>
    <t>Søgård Sø</t>
  </si>
  <si>
    <t>Søvigsund Sø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</si>
  <si>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</si>
  <si>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</si>
  <si>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</si>
  <si>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</si>
  <si>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</si>
  <si>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</si>
  <si>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</si>
  <si>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</si>
  <si>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</si>
  <si>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</si>
  <si>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</si>
  <si>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Haderslev Dam</t>
  </si>
  <si>
    <t>Hejlskov Sø</t>
  </si>
  <si>
    <t>Hindemaj</t>
  </si>
  <si>
    <t>Hopsø (v. Genner Bugt)</t>
  </si>
  <si>
    <t>Ketting Nor</t>
  </si>
  <si>
    <t>Kær Vig</t>
  </si>
  <si>
    <t>Lillehav</t>
  </si>
  <si>
    <t>Mjang Dam</t>
  </si>
  <si>
    <t>Mjels Sø</t>
  </si>
  <si>
    <t>Nordborg Sø</t>
  </si>
  <si>
    <t>Oldenor</t>
  </si>
  <si>
    <t>Pamhule Sø</t>
  </si>
  <si>
    <t>Rands Fjord</t>
  </si>
  <si>
    <t>Sandbjerg Mølledam</t>
  </si>
  <si>
    <t>Slivsø</t>
  </si>
  <si>
    <t>Solkær Enge</t>
  </si>
  <si>
    <t>Stallerup Sø</t>
  </si>
  <si>
    <t>Stevning Dam</t>
  </si>
  <si>
    <t>Varnæs Skovsø</t>
  </si>
  <si>
    <t>Vedbøl Sø</t>
  </si>
  <si>
    <t>Vælddam</t>
  </si>
  <si>
    <t>Flægen v. Eskør Inddæmning</t>
  </si>
  <si>
    <t>Føns Vang</t>
  </si>
  <si>
    <t>Nordby Sø</t>
  </si>
  <si>
    <t>Søholm Sø</t>
  </si>
  <si>
    <t>Sønderby Sø</t>
  </si>
  <si>
    <t>Arreskov Sø</t>
  </si>
  <si>
    <t>Brændegård Sø</t>
  </si>
  <si>
    <t>Dallund Sø</t>
  </si>
  <si>
    <t>Langesø</t>
  </si>
  <si>
    <t>Nr. Søby Sø</t>
  </si>
  <si>
    <t>Nørresø</t>
  </si>
  <si>
    <t>Søbo Sø</t>
  </si>
  <si>
    <t>Gammelmølle Sø</t>
  </si>
  <si>
    <t>Hjulby Sø</t>
  </si>
  <si>
    <t>Kobbermose</t>
  </si>
  <si>
    <t>Vomme Sø</t>
  </si>
  <si>
    <t>Gudme Sø</t>
  </si>
  <si>
    <t>Hvidkilde Sø</t>
  </si>
  <si>
    <t>Ollerup Sø</t>
  </si>
  <si>
    <t>Sørup Sø</t>
  </si>
  <si>
    <t>Arup Vejle</t>
  </si>
  <si>
    <t>Bjørnkær</t>
  </si>
  <si>
    <t>Borbjerg Møllesø</t>
  </si>
  <si>
    <t>Bredmose Fjends</t>
  </si>
  <si>
    <t>Brokholm Sø</t>
  </si>
  <si>
    <t>Bølling Sø</t>
  </si>
  <si>
    <t>Ferring Sø</t>
  </si>
  <si>
    <t>Flade Sø</t>
  </si>
  <si>
    <t>Flyndersø nordlige del</t>
  </si>
  <si>
    <t>Flyndersø sydlige del</t>
  </si>
  <si>
    <t>Fussing Sø</t>
  </si>
  <si>
    <t>Gjeller Sø</t>
  </si>
  <si>
    <t>Glenstrup Sø</t>
  </si>
  <si>
    <t>Gravlev Sø</t>
  </si>
  <si>
    <t>Grynderup Sø</t>
  </si>
  <si>
    <t>Halkær Sø</t>
  </si>
  <si>
    <t>Hauge Sø</t>
  </si>
  <si>
    <t>Helle Sø</t>
  </si>
  <si>
    <t>Hjerk Nor</t>
  </si>
  <si>
    <t>Holmgård Sø</t>
  </si>
  <si>
    <t>Horn Sø</t>
  </si>
  <si>
    <t>Hygum Nor</t>
  </si>
  <si>
    <t>Hærup Sø</t>
  </si>
  <si>
    <t>Jølby Nor</t>
  </si>
  <si>
    <t>Kallerup Kær</t>
  </si>
  <si>
    <t>Kilen</t>
  </si>
  <si>
    <t>Klejtrup Sø</t>
  </si>
  <si>
    <t>Klokkerholm Møllesø</t>
  </si>
  <si>
    <t>Kås Sø</t>
  </si>
  <si>
    <t>Legind Sø</t>
  </si>
  <si>
    <t>Lemvig Sø</t>
  </si>
  <si>
    <t>Louns Sø</t>
  </si>
  <si>
    <t>Lund Fjord</t>
  </si>
  <si>
    <t>Lønnerup Fjord</t>
  </si>
  <si>
    <t>Mellemvese</t>
  </si>
  <si>
    <t>Mollerup Sø</t>
  </si>
  <si>
    <t>Movsø</t>
  </si>
  <si>
    <t>Nipgård Sø</t>
  </si>
  <si>
    <t>Noret</t>
  </si>
  <si>
    <t>Nørhå Sø</t>
  </si>
  <si>
    <t>Nørremose Sø</t>
  </si>
  <si>
    <t>Nørrevese</t>
  </si>
  <si>
    <t>Ove Sø</t>
  </si>
  <si>
    <t>Rettrupkær Sø</t>
  </si>
  <si>
    <t>Rodenbjerg Sø</t>
  </si>
  <si>
    <t>Rødsø</t>
  </si>
  <si>
    <t>Selbjerg Vejle</t>
  </si>
  <si>
    <t>Skalle Sø</t>
  </si>
  <si>
    <t>Smedshave vese</t>
  </si>
  <si>
    <t>Spøttrup Sø</t>
  </si>
  <si>
    <t>Stubbergård Sø</t>
  </si>
  <si>
    <t>Sønder Lem Vig</t>
  </si>
  <si>
    <t>Søndervese</t>
  </si>
  <si>
    <t>Teglsø</t>
  </si>
  <si>
    <t>Thyborøn Fjord</t>
  </si>
  <si>
    <t>Tjele Langsø</t>
  </si>
  <si>
    <t>Tværmose</t>
  </si>
  <si>
    <t>Vansø</t>
  </si>
  <si>
    <t>Vilsted Sø</t>
  </si>
  <si>
    <t>Vullum Sø</t>
  </si>
  <si>
    <t>Ørslevkloster Sø</t>
  </si>
  <si>
    <t>Ørum Sø</t>
  </si>
  <si>
    <t>Østerild Fjord</t>
  </si>
  <si>
    <t>Hobro Vesterfjord</t>
  </si>
  <si>
    <t>Kielstrup Sø</t>
  </si>
  <si>
    <t>Kjellerup sø</t>
  </si>
  <si>
    <t>Byn</t>
  </si>
  <si>
    <t>Gødstrup Sø</t>
  </si>
  <si>
    <t>Holstebro Vandkraftsø</t>
  </si>
  <si>
    <t>Husby Sø</t>
  </si>
  <si>
    <t>Indfjorden</t>
  </si>
  <si>
    <t>Nørre Sø</t>
  </si>
  <si>
    <t>Sunds Sø</t>
  </si>
  <si>
    <t>Søndersund</t>
  </si>
  <si>
    <t>Tang Sø</t>
  </si>
  <si>
    <t>Alling Sø</t>
  </si>
  <si>
    <t>Allinggård Sø</t>
  </si>
  <si>
    <t>Almind Sø</t>
  </si>
  <si>
    <t>Avnsø</t>
  </si>
  <si>
    <t>Birksø/Ry Lillesø</t>
  </si>
  <si>
    <t>Borre Sø</t>
  </si>
  <si>
    <t>Brassø</t>
  </si>
  <si>
    <t>Bredvad Sø</t>
  </si>
  <si>
    <t>Bryrup Langsø</t>
  </si>
  <si>
    <t>Ellesø</t>
  </si>
  <si>
    <t>Engetved Sø</t>
  </si>
  <si>
    <t>Gudensø</t>
  </si>
  <si>
    <t>Hald Sø</t>
  </si>
  <si>
    <t>Halle Sø</t>
  </si>
  <si>
    <t>Hals Sø</t>
  </si>
  <si>
    <t>Hinge Sø</t>
  </si>
  <si>
    <t>Hummel Sø</t>
  </si>
  <si>
    <t>Hund Sø</t>
  </si>
  <si>
    <t>Jenskær</t>
  </si>
  <si>
    <t>Julsø</t>
  </si>
  <si>
    <t>Karlsø</t>
  </si>
  <si>
    <t>Knud Sø</t>
  </si>
  <si>
    <t>Kolsø</t>
  </si>
  <si>
    <t>Kul Sø</t>
  </si>
  <si>
    <t>Kvind Sø</t>
  </si>
  <si>
    <t>Køge Sø</t>
  </si>
  <si>
    <t>Langå Sø</t>
  </si>
  <si>
    <t>Loldrup Sø</t>
  </si>
  <si>
    <t>Lyngsø</t>
  </si>
  <si>
    <t>Mossø</t>
  </si>
  <si>
    <t>Mørke Mose, nord</t>
  </si>
  <si>
    <t>Mørke Mose, syd</t>
  </si>
  <si>
    <t>Mørksø N f. Salten Lang</t>
  </si>
  <si>
    <t>Naldal Sø</t>
  </si>
  <si>
    <t>Ormstrup Sø</t>
  </si>
  <si>
    <t>Ravn Sø</t>
  </si>
  <si>
    <t>Ring Sø</t>
  </si>
  <si>
    <t>Rødding Sø</t>
  </si>
  <si>
    <t>Salten Langsø</t>
  </si>
  <si>
    <t>Silkeborg Langsø midt</t>
  </si>
  <si>
    <t>Silkeborg Langsø øst</t>
  </si>
  <si>
    <t>Skanderborg Lillesø</t>
  </si>
  <si>
    <t>Skanderborg Sø</t>
  </si>
  <si>
    <t>Slåen Sø</t>
  </si>
  <si>
    <t>Svanesø</t>
  </si>
  <si>
    <t>Stigsholm Sø</t>
  </si>
  <si>
    <t>Søbygård Sø</t>
  </si>
  <si>
    <t>Viborg Søndremose</t>
  </si>
  <si>
    <t>Tange Sø</t>
  </si>
  <si>
    <t>Thorsø</t>
  </si>
  <si>
    <t>Torup Sø</t>
  </si>
  <si>
    <t>Tåning Sø</t>
  </si>
  <si>
    <t>Vedsø, Nonbo</t>
  </si>
  <si>
    <t>Vedsø, Rindsholm</t>
  </si>
  <si>
    <t>Vejlsø</t>
  </si>
  <si>
    <t>Velling Igelsø</t>
  </si>
  <si>
    <t>Veng Sø</t>
  </si>
  <si>
    <t>Vessø</t>
  </si>
  <si>
    <t>Vestbirk Sø</t>
  </si>
  <si>
    <t>Viborg Nørresø</t>
  </si>
  <si>
    <t>Viborg Søndersø</t>
  </si>
  <si>
    <t>Vintmølle Sø</t>
  </si>
  <si>
    <t>Vrold Sø</t>
  </si>
  <si>
    <t>Væng Sø</t>
  </si>
  <si>
    <t>Ørn Sø</t>
  </si>
  <si>
    <t>Bogens Sø</t>
  </si>
  <si>
    <t>Dråby Sø</t>
  </si>
  <si>
    <t>Dystrup Sø</t>
  </si>
  <si>
    <t>Løvenholm Langsø</t>
  </si>
  <si>
    <t>Ramten Sø</t>
  </si>
  <si>
    <t>Rugård Nørresø</t>
  </si>
  <si>
    <t>Rugård Søndersø</t>
  </si>
  <si>
    <t>Rugård Østersø</t>
  </si>
  <si>
    <t>Stubbe Sø</t>
  </si>
  <si>
    <t>Tronholm Sø</t>
  </si>
  <si>
    <t>Ulstrup Langsø</t>
  </si>
  <si>
    <t>Vallum Sø</t>
  </si>
  <si>
    <t>Øje Sø</t>
  </si>
  <si>
    <t>Brabrand Sø</t>
  </si>
  <si>
    <t>Egå Engsø</t>
  </si>
  <si>
    <t>Lading Sø</t>
  </si>
  <si>
    <t>Stilling-Solbjerg Sø</t>
  </si>
  <si>
    <t>Tåstrup Sø</t>
  </si>
  <si>
    <t>Årslev Engsø</t>
  </si>
  <si>
    <t>Ejstrup Sø</t>
  </si>
  <si>
    <t>Ensø</t>
  </si>
  <si>
    <t>Hampen Sø</t>
  </si>
  <si>
    <t>Hastrup Sø</t>
  </si>
  <si>
    <t>Hestholm Sø</t>
  </si>
  <si>
    <t>Kul Sø, Troldhede</t>
  </si>
  <si>
    <t>Kulsø, Nr. Snede</t>
  </si>
  <si>
    <t>Mes Sø</t>
  </si>
  <si>
    <t>Neder Sø</t>
  </si>
  <si>
    <t>Nordredyb - Vest Stadil Fjord</t>
  </si>
  <si>
    <t>Nymindestrømmen 1</t>
  </si>
  <si>
    <t>Nymindestrømmen 2</t>
  </si>
  <si>
    <t>Nymindestrømmen 3</t>
  </si>
  <si>
    <t>Nymindestrømmen 5</t>
  </si>
  <si>
    <t>Rørbæk Sø</t>
  </si>
  <si>
    <t>Stadil Fjord</t>
  </si>
  <si>
    <t>Svanholm Sø</t>
  </si>
  <si>
    <t>Søby Sø</t>
  </si>
  <si>
    <t>Søbylejet Sø 13</t>
  </si>
  <si>
    <t>Søbylejet Sø 5</t>
  </si>
  <si>
    <t>Søndredyb - Vest Stadil Fjord</t>
  </si>
  <si>
    <t>Tim Enge</t>
  </si>
  <si>
    <t>Værn Sande</t>
  </si>
  <si>
    <t>Kærn Sø</t>
  </si>
  <si>
    <t>Bygholm Sø</t>
  </si>
  <si>
    <t>Dallerup Sø</t>
  </si>
  <si>
    <t>Bjerre Engsø</t>
  </si>
  <si>
    <t>Nørrestrand</t>
  </si>
  <si>
    <t>Tebstrup Sø</t>
  </si>
  <si>
    <t>Avnsø v. Svebølle</t>
  </si>
  <si>
    <t>Bliden</t>
  </si>
  <si>
    <t>Brændeløkke Dam</t>
  </si>
  <si>
    <t>Dyssemose</t>
  </si>
  <si>
    <t>Gudmindrup Mose</t>
  </si>
  <si>
    <t>Højby Sø</t>
  </si>
  <si>
    <t>Madesø</t>
  </si>
  <si>
    <t>Rajemose</t>
  </si>
  <si>
    <t>Saltbæk Vig</t>
  </si>
  <si>
    <t>Skarresø</t>
  </si>
  <si>
    <t>Tissø</t>
  </si>
  <si>
    <t>Alsønderup Engsø</t>
  </si>
  <si>
    <t>Arresø</t>
  </si>
  <si>
    <t>Avnsø v. Kirke Hvalsø</t>
  </si>
  <si>
    <t>Buesø</t>
  </si>
  <si>
    <t>Buresø</t>
  </si>
  <si>
    <t>Frederiksborg Slotssø</t>
  </si>
  <si>
    <t>Fuglesø, Stenløse</t>
  </si>
  <si>
    <t>Gundsømagle Sø</t>
  </si>
  <si>
    <t>Holløse Bredning</t>
  </si>
  <si>
    <t>Hovvig</t>
  </si>
  <si>
    <t>Kornerup Sø</t>
  </si>
  <si>
    <t>Lille Kattinge Sø</t>
  </si>
  <si>
    <t>Maglesø v. Brorfelde</t>
  </si>
  <si>
    <t>Porsemose</t>
  </si>
  <si>
    <t>Ramsø</t>
  </si>
  <si>
    <t>Selsø Sø</t>
  </si>
  <si>
    <t>Skallemose</t>
  </si>
  <si>
    <t>Skenkelsø</t>
  </si>
  <si>
    <t>Smørmose</t>
  </si>
  <si>
    <t>Solbjerg Engsø</t>
  </si>
  <si>
    <t>Store Kattinge Sø</t>
  </si>
  <si>
    <t>Stormosen</t>
  </si>
  <si>
    <t>Strødam Engsø</t>
  </si>
  <si>
    <t>Svogerslev Sø</t>
  </si>
  <si>
    <t>Søndersø</t>
  </si>
  <si>
    <t>Torbenfeld Sø</t>
  </si>
  <si>
    <t>Veksømose Sø</t>
  </si>
  <si>
    <t>Bagsværd Sø</t>
  </si>
  <si>
    <t>Bastrup Sø</t>
  </si>
  <si>
    <t>Birkerød Sø</t>
  </si>
  <si>
    <t>Bondedam</t>
  </si>
  <si>
    <t>Bøgeholm Sø</t>
  </si>
  <si>
    <t>Bøllemose</t>
  </si>
  <si>
    <t>Damhus Sø</t>
  </si>
  <si>
    <t>Donse Storedam</t>
  </si>
  <si>
    <t>Emdrup Sø</t>
  </si>
  <si>
    <t>Esrum Sø</t>
  </si>
  <si>
    <t>Farum Sø</t>
  </si>
  <si>
    <t>Furesø</t>
  </si>
  <si>
    <t>Gentofte Sø</t>
  </si>
  <si>
    <t>Gurre Sø</t>
  </si>
  <si>
    <t>Hornbæk Sø</t>
  </si>
  <si>
    <t>Klaresø</t>
  </si>
  <si>
    <t>Kobberdam</t>
  </si>
  <si>
    <t>Lyngby Sø</t>
  </si>
  <si>
    <t>Sjælsø</t>
  </si>
  <si>
    <t>Skåningedam</t>
  </si>
  <si>
    <t>Sortesø</t>
  </si>
  <si>
    <t>Store Hulsø</t>
  </si>
  <si>
    <t>Søllerød Sø</t>
  </si>
  <si>
    <t>Utterslev Mose</t>
  </si>
  <si>
    <t>Vejlesø</t>
  </si>
  <si>
    <t>Borup Sø</t>
  </si>
  <si>
    <t>Dalby Sø</t>
  </si>
  <si>
    <t>Ejlemade Sø</t>
  </si>
  <si>
    <t>Gjorslev Møllesø</t>
  </si>
  <si>
    <t>Holmesø</t>
  </si>
  <si>
    <t>Jægersø</t>
  </si>
  <si>
    <t>Kimmerslev Sø</t>
  </si>
  <si>
    <t>Lille Vejlesø</t>
  </si>
  <si>
    <t>Maglebæk Sø</t>
  </si>
  <si>
    <t>Ringebæk Sø</t>
  </si>
  <si>
    <t>Stubbesø</t>
  </si>
  <si>
    <t>Ulse Sø</t>
  </si>
  <si>
    <t>Bavelse Sø</t>
  </si>
  <si>
    <t>Blødemade Sø</t>
  </si>
  <si>
    <t>Bonderup Mose</t>
  </si>
  <si>
    <t>Borremosen, Listrup Lyng NØ</t>
  </si>
  <si>
    <t>Bromme Lillesø</t>
  </si>
  <si>
    <t>Bromme Maglesø</t>
  </si>
  <si>
    <t>Engsø v. Jystrup</t>
  </si>
  <si>
    <t>Flasken</t>
  </si>
  <si>
    <t>Gisselfeld Sø</t>
  </si>
  <si>
    <t>Glumsø Sø</t>
  </si>
  <si>
    <t>Gyrstinge Sø</t>
  </si>
  <si>
    <t>Gødstrup Engsø</t>
  </si>
  <si>
    <t>Gørlev Sø</t>
  </si>
  <si>
    <t>Haraldsted Langesø</t>
  </si>
  <si>
    <t>Haraldsted Lillesø</t>
  </si>
  <si>
    <t>Hejrede Sø</t>
  </si>
  <si>
    <t>Hvidsø</t>
  </si>
  <si>
    <t>Jystrup Sø</t>
  </si>
  <si>
    <t>Kongskilde Møllesø</t>
  </si>
  <si>
    <t>Langedam v. Gisselfeld</t>
  </si>
  <si>
    <t>Magleby Lung</t>
  </si>
  <si>
    <t>Maribo Søndersø</t>
  </si>
  <si>
    <t>Mortenstrup Sø</t>
  </si>
  <si>
    <t>Møllesø, Falster</t>
  </si>
  <si>
    <t>Nakskov Indrefjord</t>
  </si>
  <si>
    <t>Nielstrup Sø v. Bregentved</t>
  </si>
  <si>
    <t>Nysø v. Slagelse</t>
  </si>
  <si>
    <t>Nørremose</t>
  </si>
  <si>
    <t>Nørresø ved Maribo</t>
  </si>
  <si>
    <t>Pedersborg Sø</t>
  </si>
  <si>
    <t>Rosengård sø</t>
  </si>
  <si>
    <t>Røgbølle Sø</t>
  </si>
  <si>
    <t>Sivdam</t>
  </si>
  <si>
    <t>Skjoldenæsholm Gårdsø</t>
  </si>
  <si>
    <t>Skudeløbet</t>
  </si>
  <si>
    <t>Sorø Sø</t>
  </si>
  <si>
    <t>Svenstrup Lergrav</t>
  </si>
  <si>
    <t>Søgård Sø v. Herlufmagle</t>
  </si>
  <si>
    <t>Søtorup Sø</t>
  </si>
  <si>
    <t>Tuel Sø</t>
  </si>
  <si>
    <t>Tystrup Sø</t>
  </si>
  <si>
    <t>Ulvsmose</t>
  </si>
  <si>
    <t>Valsølille Sø</t>
  </si>
  <si>
    <t>Vedsø vest for Sorø</t>
  </si>
  <si>
    <t>Vesterborg Sø</t>
  </si>
  <si>
    <t>Virket Sø</t>
  </si>
  <si>
    <t>Aborresø</t>
  </si>
  <si>
    <t>Even</t>
  </si>
  <si>
    <t>Hestofte Sø</t>
  </si>
  <si>
    <t>Hunosø</t>
  </si>
  <si>
    <t>Liselund Søer 5 (Skriversøen)</t>
  </si>
  <si>
    <t>Maglemosen</t>
  </si>
  <si>
    <t>Snesere Sø</t>
  </si>
  <si>
    <t>Stengård Sø</t>
  </si>
  <si>
    <t>Store Geddesø</t>
  </si>
  <si>
    <t>Ugeldige Sø (ny)</t>
  </si>
  <si>
    <t>Bastemose</t>
  </si>
  <si>
    <t>Dammemose</t>
  </si>
  <si>
    <t>Hammersø</t>
  </si>
  <si>
    <t>Hundsemyre</t>
  </si>
  <si>
    <t>Sø ved Udkæret</t>
  </si>
  <si>
    <t>Ølene</t>
  </si>
  <si>
    <t>Åremyre</t>
  </si>
  <si>
    <t>Hostrup Sø</t>
  </si>
  <si>
    <t>Kruså Møllesø</t>
  </si>
  <si>
    <t>Lille Søgård Sø</t>
  </si>
  <si>
    <t>Nørresø ved Tønder</t>
  </si>
  <si>
    <t>Råstofsø NØ for Rødekro (G36)</t>
  </si>
  <si>
    <t>Store Søgård Sø</t>
  </si>
  <si>
    <t>Silkeborg Langsø vest</t>
  </si>
  <si>
    <t>Birkesø</t>
  </si>
  <si>
    <t>Hundsø</t>
  </si>
  <si>
    <t>Bruunshåb Sø 2</t>
  </si>
  <si>
    <t>Mørke Mose, midt</t>
  </si>
  <si>
    <t>Kragsø ved Hampen</t>
  </si>
  <si>
    <t>Galtkjær Sø</t>
  </si>
  <si>
    <t>Skee Mose</t>
  </si>
  <si>
    <t>Rørsøen v. Nysted</t>
  </si>
  <si>
    <t>Maltrup Sø</t>
  </si>
  <si>
    <t>Aasedammene</t>
  </si>
  <si>
    <t>Borgesø</t>
  </si>
  <si>
    <t>162-014 Sø v. Skælskør</t>
  </si>
  <si>
    <t>Sø v. Kellerød Skov</t>
  </si>
  <si>
    <t>Sø v. Keldernæs</t>
  </si>
  <si>
    <t>Vinge Mølledam</t>
  </si>
  <si>
    <t>Sø Vest for Hjerl Hede</t>
  </si>
  <si>
    <t>Store Jynnevad 2</t>
  </si>
  <si>
    <t>Gamst Sø</t>
  </si>
  <si>
    <t>Tanesø</t>
  </si>
  <si>
    <t>Bundsø</t>
  </si>
  <si>
    <t>Margrethe Sø</t>
  </si>
  <si>
    <t>Hylken Mølle Sø</t>
  </si>
  <si>
    <t>Gamborg Nor</t>
  </si>
  <si>
    <t>Tryggelev Nor</t>
  </si>
  <si>
    <t>Vejlen</t>
  </si>
  <si>
    <t>Lyngmosen, Falkerslev V</t>
  </si>
  <si>
    <t>Strib Sø - Øst</t>
  </si>
  <si>
    <t>Sø 2 øst for Tømmerby Fjord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</si>
</sst>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\+#,##0;\-#,##0;\-"/>
    <numFmt numFmtId="166" formatCode="\+0.00%;\-0.00%;\-"/>
    <numFmt numFmtId="167" formatCode="\+#,##0.0;\-#,##0.0;\-"/>
    <numFmt numFmtId="168" formatCode="\+#,##0.00;\-#,##0.00;\-"/>
  </numFmts>
  <fonts count="14" x14ac:knownFonts="1">
    <font>
      <sz val="11"/>
      <color theme="1"/>
      <name val="Calibri"/>
      <family val="2"/>
      <charset val="1"/>
    </font>
    <font>
      <b/>
      <sz val="12"/>
      <color rgb="FF1A3A5C"/>
      <name val="Arial"/>
      <charset val="1"/>
    </font>
    <font>
      <i/>
      <sz val="9"/>
      <color rgb="FF666666"/>
      <name val="Arial"/>
      <charset val="1"/>
    </font>
    <font>
      <b/>
      <sz val="9"/>
      <color rgb="FFFFFFFF"/>
      <name val="Arial"/>
      <charset val="1"/>
    </font>
    <font>
      <b/>
      <sz val="10"/>
      <color rgb="FF1A3A5C"/>
      <name val="Arial"/>
      <charset val="1"/>
    </font>
    <font>
      <b/>
      <sz val="9"/>
      <name val="Arial"/>
      <charset val="1"/>
    </font>
    <font>
      <sz val="9"/>
      <name val="Arial"/>
      <charset val="1"/>
    </font>
    <font>
      <b/>
      <sz val="10"/>
      <color rgb="FFFFFFFF"/>
      <name val="Arial"/>
      <charset val="1"/>
    </font>
    <font>
      <b/>
      <sz val="9"/>
      <color rgb="FF1A3A5C"/>
      <name val="Arial"/>
      <charset val="1"/>
    </font>
    <font>
      <u/>
      <sz val="9"/>
      <color rgb="FF1A3A5C"/>
      <name val="Arial"/>
      <charset val="1"/>
    </font>
    <font>
      <b/>
      <sz val="11"/>
      <color rgb="FFFFFFFF"/>
      <name val="Arial"/>
      <charset val="1"/>
    </font>
    <font>
      <sz val="9"/>
      <color rgb="FFFFFFFF"/>
      <name val="Arial"/>
      <charset val="1"/>
    </font>
    <font>
      <b/>
      <sz val="8"/>
      <name val="Arial"/>
      <charset val="1"/>
    </font>
    <font>
      <sz val="8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2E6DA4"/>
        <bgColor rgb="FF3366FF"/>
      </patternFill>
    </fill>
    <fill>
      <patternFill patternType="solid">
        <fgColor rgb="FFDCE6F1"/>
        <bgColor rgb="FFD5E8D4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5E8D4"/>
        <bgColor rgb="FFDCE6F1"/>
      </patternFill>
    </fill>
    <fill>
      <patternFill patternType="solid">
        <fgColor rgb="FFF8CECC"/>
        <bgColor rgb="FFE1D5E7"/>
      </patternFill>
    </fill>
    <fill>
      <patternFill patternType="solid">
        <fgColor rgb="FFE1D5E7"/>
        <bgColor rgb="FFDCE6F1"/>
      </patternFill>
    </fill>
    <fill>
      <patternFill patternType="solid">
        <fgColor rgb="FFFFF2CC"/>
        <bgColor rgb="FFF2F2F2"/>
      </patternFill>
    </fill>
    <fill>
      <patternFill patternType="solid">
        <fgColor rgb="FF1A3A5C"/>
        <bgColor rgb="FF333333"/>
      </patternFill>
    </fill>
    <fill>
      <patternFill patternType="solid">
        <fgColor rgb="FF4E8A5C"/>
        <bgColor rgb="FF666666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1A3A5C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165" fontId="6" fillId="7" borderId="1" xfId="0" applyNumberFormat="1" applyFont="1" applyFill="1" applyBorder="1" applyAlignment="1">
      <alignment horizontal="right" vertical="center"/>
    </xf>
    <xf numFmtId="166" fontId="6" fillId="7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0" fillId="0" borderId="3" xfId="0" applyBorder="1"/>
    <xf numFmtId="165" fontId="6" fillId="6" borderId="1" xfId="0" applyNumberFormat="1" applyFont="1" applyFill="1" applyBorder="1" applyAlignment="1">
      <alignment horizontal="right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4" fontId="9" fillId="5" borderId="1" xfId="0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right" vertical="center"/>
    </xf>
    <xf numFmtId="167" fontId="6" fillId="7" borderId="1" xfId="0" applyNumberFormat="1" applyFont="1" applyFill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168" fontId="6" fillId="7" borderId="1" xfId="0" applyNumberFormat="1" applyFont="1" applyFill="1" applyBorder="1" applyAlignment="1">
      <alignment horizontal="right" vertical="center"/>
    </xf>
    <xf numFmtId="168" fontId="6" fillId="6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CE6F1"/>
      <rgbColor rgb="FF660066"/>
      <rgbColor rgb="FFFF8080"/>
      <rgbColor rgb="FF2E6DA4"/>
      <rgbColor rgb="FFE1D5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E8D4"/>
      <rgbColor rgb="FFFFFF99"/>
      <rgbColor rgb="FF99CCFF"/>
      <rgbColor rgb="FFFF99CC"/>
      <rgbColor rgb="FFCC99FF"/>
      <rgbColor rgb="FFF8CEC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3A5C"/>
      <rgbColor rgb="FF4E8A5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107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1892F30-781F-4FFF-9581-F68EEE2FEC32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667e4bda-1797-4b15-ab35-e1a42e090638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zoomScaleNormal="100" workbookViewId="0">
      <selection sqref="A1:G1"/>
    </sheetView>
  </sheetViews>
  <sheetFormatPr defaultColWidth="8.68359375" defaultRowHeight="14.4" x14ac:dyDescent="0.55000000000000004"/>
  <cols>
    <col min="1" max="1" width="14" customWidth="1"/>
    <col min="2" max="2" width="44" customWidth="1"/>
    <col min="3" max="3" width="20" customWidth="1"/>
    <col min="4" max="5" width="12" customWidth="1"/>
    <col min="6" max="6" width="52" customWidth="1"/>
    <col min="7" max="7" width="12" customWidth="1"/>
  </cols>
  <sheetData>
    <row r="1" spans="1:7" ht="21.75" customHeight="1" x14ac:dyDescent="0.55000000000000004">
      <c r="A1" s="49" t="s">
        <v>0</v>
      </c>
      <c r="B1" s="49"/>
      <c r="C1" s="49"/>
      <c r="D1" s="49"/>
      <c r="E1" s="49"/>
      <c r="F1" s="49"/>
      <c r="G1" s="49"/>
    </row>
    <row r="2" spans="1:7" ht="13.5" customHeight="1" x14ac:dyDescent="0.55000000000000004">
      <c r="A2" s="50" t="s">
        <v>1</v>
      </c>
      <c r="B2" s="50"/>
      <c r="C2" s="50"/>
      <c r="D2" s="50"/>
      <c r="E2" s="50"/>
      <c r="F2" s="50"/>
      <c r="G2" s="50"/>
    </row>
    <row r="3" spans="1:7" ht="27.75" customHeight="1" x14ac:dyDescent="0.55000000000000004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15.75" customHeight="1" x14ac:dyDescent="0.55000000000000004">
      <c r="A4" s="56" t="s">
        <v>9</v>
      </c>
      <c r="B4" s="56"/>
      <c r="C4" s="56"/>
      <c r="D4" s="56"/>
      <c r="E4" s="56"/>
      <c r="F4" s="56"/>
      <c r="G4" s="56"/>
    </row>
    <row r="5" spans="1:7" ht="13.5" customHeight="1" x14ac:dyDescent="0.55000000000000004">
      <c r="A5" s="4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</row>
    <row r="6" spans="1:7" ht="13.5" customHeight="1" x14ac:dyDescent="0.55000000000000004">
      <c r="A6" s="4" t="s">
        <v>17</v>
      </c>
      <c r="B6" s="6" t="s">
        <v>18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</row>
    <row r="7" spans="1:7" ht="13.5" customHeight="1" x14ac:dyDescent="0.55000000000000004">
      <c r="A7" s="4" t="s">
        <v>19</v>
      </c>
      <c r="B7" s="5" t="s">
        <v>20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</row>
    <row r="8" spans="1:7" ht="13.5" customHeight="1" x14ac:dyDescent="0.55000000000000004">
      <c r="A8" s="4" t="s">
        <v>21</v>
      </c>
      <c r="B8" s="6" t="s">
        <v>22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</row>
    <row r="9" spans="1:7" ht="13.5" customHeight="1" x14ac:dyDescent="0.55000000000000004">
      <c r="A9" s="4" t="s">
        <v>23</v>
      </c>
      <c r="B9" s="5" t="s">
        <v>24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</row>
    <row r="10" spans="1:7" ht="13.5" customHeight="1" x14ac:dyDescent="0.55000000000000004">
      <c r="A10" s="4" t="s">
        <v>25</v>
      </c>
      <c r="B10" s="6" t="s">
        <v>26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</row>
    <row r="11" spans="1:7" ht="13.5" customHeight="1" x14ac:dyDescent="0.55000000000000004">
      <c r="A11" s="4" t="s">
        <v>27</v>
      </c>
      <c r="B11" s="5" t="s">
        <v>28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16</v>
      </c>
    </row>
    <row r="12" spans="1:7" ht="13.5" customHeight="1" x14ac:dyDescent="0.55000000000000004">
      <c r="A12" s="4" t="s">
        <v>29</v>
      </c>
      <c r="B12" s="6" t="s">
        <v>30</v>
      </c>
      <c r="C12" s="6" t="s">
        <v>12</v>
      </c>
      <c r="D12" s="6" t="s">
        <v>13</v>
      </c>
      <c r="E12" s="6" t="s">
        <v>14</v>
      </c>
      <c r="F12" s="6" t="s">
        <v>15</v>
      </c>
      <c r="G12" s="6" t="s">
        <v>16</v>
      </c>
    </row>
    <row r="13" spans="1:7" ht="15.75" customHeight="1" x14ac:dyDescent="0.55000000000000004">
      <c r="A13" s="57" t="s">
        <v>31</v>
      </c>
      <c r="B13" s="57"/>
      <c r="C13" s="57"/>
      <c r="D13" s="57"/>
      <c r="E13" s="57"/>
      <c r="F13" s="57"/>
      <c r="G13" s="57"/>
    </row>
    <row r="14" spans="1:7" ht="13.5" customHeight="1" x14ac:dyDescent="0.55000000000000004">
      <c r="A14" s="7" t="s">
        <v>32</v>
      </c>
      <c r="B14" s="6" t="s">
        <v>33</v>
      </c>
      <c r="C14" s="6" t="s">
        <v>34</v>
      </c>
      <c r="D14" s="6" t="s">
        <v>35</v>
      </c>
      <c r="E14" s="6" t="s">
        <v>14</v>
      </c>
      <c r="F14" s="6" t="s">
        <v>15</v>
      </c>
      <c r="G14" s="6" t="s">
        <v>16</v>
      </c>
    </row>
    <row r="15" spans="1:7" ht="13.5" customHeight="1" x14ac:dyDescent="0.55000000000000004">
      <c r="A15" s="7" t="s">
        <v>36</v>
      </c>
      <c r="B15" s="5" t="s">
        <v>37</v>
      </c>
      <c r="C15" s="5" t="s">
        <v>34</v>
      </c>
      <c r="D15" s="5" t="s">
        <v>35</v>
      </c>
      <c r="E15" s="5" t="s">
        <v>38</v>
      </c>
      <c r="F15" s="5" t="s">
        <v>39</v>
      </c>
      <c r="G15" s="5" t="s">
        <v>16</v>
      </c>
    </row>
    <row r="16" spans="1:7" ht="13.5" customHeight="1" x14ac:dyDescent="0.55000000000000004">
      <c r="A16" s="7" t="s">
        <v>40</v>
      </c>
      <c r="B16" s="6" t="s">
        <v>41</v>
      </c>
      <c r="C16" s="6" t="s">
        <v>34</v>
      </c>
      <c r="D16" s="6" t="s">
        <v>35</v>
      </c>
      <c r="E16" s="6" t="s">
        <v>14</v>
      </c>
      <c r="F16" s="6" t="s">
        <v>15</v>
      </c>
      <c r="G16" s="6" t="s">
        <v>16</v>
      </c>
    </row>
    <row r="17" spans="1:7" ht="13.5" customHeight="1" x14ac:dyDescent="0.55000000000000004">
      <c r="A17" s="7" t="s">
        <v>42</v>
      </c>
      <c r="B17" s="5" t="s">
        <v>43</v>
      </c>
      <c r="C17" s="5" t="s">
        <v>34</v>
      </c>
      <c r="D17" s="5" t="s">
        <v>35</v>
      </c>
      <c r="E17" s="5" t="s">
        <v>44</v>
      </c>
      <c r="F17" s="5" t="s">
        <v>45</v>
      </c>
      <c r="G17" s="5" t="s">
        <v>16</v>
      </c>
    </row>
    <row r="18" spans="1:7" ht="13.5" customHeight="1" x14ac:dyDescent="0.55000000000000004">
      <c r="A18" s="7" t="s">
        <v>46</v>
      </c>
      <c r="B18" s="6" t="s">
        <v>47</v>
      </c>
      <c r="C18" s="6" t="s">
        <v>34</v>
      </c>
      <c r="D18" s="6" t="s">
        <v>35</v>
      </c>
      <c r="E18" s="6" t="s">
        <v>44</v>
      </c>
      <c r="F18" s="6" t="s">
        <v>45</v>
      </c>
      <c r="G18" s="6" t="s">
        <v>16</v>
      </c>
    </row>
    <row r="19" spans="1:7" ht="13.5" customHeight="1" x14ac:dyDescent="0.55000000000000004">
      <c r="A19" s="7" t="s">
        <v>48</v>
      </c>
      <c r="B19" s="5" t="s">
        <v>49</v>
      </c>
      <c r="C19" s="5" t="s">
        <v>34</v>
      </c>
      <c r="D19" s="5" t="s">
        <v>35</v>
      </c>
      <c r="E19" s="5" t="s">
        <v>38</v>
      </c>
      <c r="F19" s="5" t="s">
        <v>39</v>
      </c>
      <c r="G19" s="5" t="s">
        <v>16</v>
      </c>
    </row>
    <row r="20" spans="1:7" ht="15.75" customHeight="1" x14ac:dyDescent="0.55000000000000004">
      <c r="A20" s="58" t="s">
        <v>50</v>
      </c>
      <c r="B20" s="58"/>
      <c r="C20" s="58"/>
      <c r="D20" s="58"/>
      <c r="E20" s="58"/>
      <c r="F20" s="58"/>
      <c r="G20" s="58"/>
    </row>
    <row r="21" spans="1:7" ht="13.5" customHeight="1" x14ac:dyDescent="0.55000000000000004">
      <c r="A21" s="8" t="s">
        <v>51</v>
      </c>
      <c r="B21" s="5" t="s">
        <v>52</v>
      </c>
      <c r="C21" s="5" t="s">
        <v>53</v>
      </c>
      <c r="D21" s="5" t="s">
        <v>35</v>
      </c>
      <c r="E21" s="5" t="s">
        <v>54</v>
      </c>
      <c r="F21" s="5" t="s">
        <v>55</v>
      </c>
      <c r="G21" s="5" t="s">
        <v>16</v>
      </c>
    </row>
    <row r="22" spans="1:7" ht="13.5" customHeight="1" x14ac:dyDescent="0.55000000000000004">
      <c r="A22" s="8" t="s">
        <v>56</v>
      </c>
      <c r="B22" s="6" t="s">
        <v>57</v>
      </c>
      <c r="C22" s="6" t="s">
        <v>53</v>
      </c>
      <c r="D22" s="6" t="s">
        <v>35</v>
      </c>
      <c r="E22" s="6" t="s">
        <v>54</v>
      </c>
      <c r="F22" s="6" t="s">
        <v>55</v>
      </c>
      <c r="G22" s="6" t="s">
        <v>16</v>
      </c>
    </row>
    <row r="23" spans="1:7" ht="13.5" customHeight="1" x14ac:dyDescent="0.55000000000000004">
      <c r="A23" s="8" t="s">
        <v>58</v>
      </c>
      <c r="B23" s="5" t="s">
        <v>59</v>
      </c>
      <c r="C23" s="5" t="s">
        <v>53</v>
      </c>
      <c r="D23" s="5" t="s">
        <v>35</v>
      </c>
      <c r="E23" s="5" t="s">
        <v>54</v>
      </c>
      <c r="F23" s="5" t="s">
        <v>55</v>
      </c>
      <c r="G23" s="5" t="s">
        <v>16</v>
      </c>
    </row>
    <row r="24" spans="1:7" ht="13.5" customHeight="1" x14ac:dyDescent="0.55000000000000004">
      <c r="A24" s="8" t="s">
        <v>60</v>
      </c>
      <c r="B24" s="6" t="s">
        <v>61</v>
      </c>
      <c r="C24" s="6" t="s">
        <v>53</v>
      </c>
      <c r="D24" s="6" t="s">
        <v>35</v>
      </c>
      <c r="E24" s="6" t="s">
        <v>54</v>
      </c>
      <c r="F24" s="6" t="s">
        <v>55</v>
      </c>
      <c r="G24" s="6" t="s">
        <v>16</v>
      </c>
    </row>
    <row r="25" spans="1:7" ht="13.5" customHeight="1" x14ac:dyDescent="0.55000000000000004">
      <c r="A25" s="8" t="s">
        <v>62</v>
      </c>
      <c r="B25" s="5" t="s">
        <v>63</v>
      </c>
      <c r="C25" s="5" t="s">
        <v>53</v>
      </c>
      <c r="D25" s="5" t="s">
        <v>35</v>
      </c>
      <c r="E25" s="5" t="s">
        <v>54</v>
      </c>
      <c r="F25" s="5" t="s">
        <v>55</v>
      </c>
      <c r="G25" s="5" t="s">
        <v>16</v>
      </c>
    </row>
    <row r="26" spans="1:7" ht="13.5" customHeight="1" x14ac:dyDescent="0.55000000000000004">
      <c r="A26" s="8" t="s">
        <v>64</v>
      </c>
      <c r="B26" s="6" t="s">
        <v>65</v>
      </c>
      <c r="C26" s="6" t="s">
        <v>53</v>
      </c>
      <c r="D26" s="6" t="s">
        <v>35</v>
      </c>
      <c r="E26" s="6" t="s">
        <v>54</v>
      </c>
      <c r="F26" s="6" t="s">
        <v>55</v>
      </c>
      <c r="G26" s="6" t="s">
        <v>16</v>
      </c>
    </row>
    <row r="27" spans="1:7" ht="15.75" customHeight="1" x14ac:dyDescent="0.55000000000000004">
      <c r="A27" s="53" t="s">
        <v>66</v>
      </c>
      <c r="B27" s="53"/>
      <c r="C27" s="53"/>
      <c r="D27" s="53"/>
      <c r="E27" s="53"/>
      <c r="F27" s="53"/>
      <c r="G27" s="53"/>
    </row>
    <row r="28" spans="1:7" ht="13.5" customHeight="1" x14ac:dyDescent="0.55000000000000004">
      <c r="A28" s="9" t="s">
        <v>67</v>
      </c>
      <c r="B28" s="6" t="s">
        <v>68</v>
      </c>
      <c r="C28" s="6" t="s">
        <v>69</v>
      </c>
      <c r="D28" s="6" t="s">
        <v>35</v>
      </c>
      <c r="E28" s="6" t="s">
        <v>54</v>
      </c>
      <c r="F28" s="6" t="s">
        <v>55</v>
      </c>
      <c r="G28" s="6" t="s">
        <v>16</v>
      </c>
    </row>
    <row r="29" spans="1:7" ht="13.5" customHeight="1" x14ac:dyDescent="0.55000000000000004">
      <c r="A29" s="9" t="s">
        <v>70</v>
      </c>
      <c r="B29" s="5" t="s">
        <v>71</v>
      </c>
      <c r="C29" s="5" t="s">
        <v>69</v>
      </c>
      <c r="D29" s="5" t="s">
        <v>35</v>
      </c>
      <c r="E29" s="5" t="s">
        <v>54</v>
      </c>
      <c r="F29" s="5" t="s">
        <v>55</v>
      </c>
      <c r="G29" s="5" t="s">
        <v>16</v>
      </c>
    </row>
    <row r="30" spans="1:7" ht="13.5" customHeight="1" x14ac:dyDescent="0.55000000000000004">
      <c r="A30" s="9" t="s">
        <v>72</v>
      </c>
      <c r="B30" s="6" t="s">
        <v>73</v>
      </c>
      <c r="C30" s="6" t="s">
        <v>69</v>
      </c>
      <c r="D30" s="6" t="s">
        <v>35</v>
      </c>
      <c r="E30" s="6" t="s">
        <v>54</v>
      </c>
      <c r="F30" s="6" t="s">
        <v>55</v>
      </c>
      <c r="G30" s="6" t="s">
        <v>16</v>
      </c>
    </row>
    <row r="31" spans="1:7" ht="13.5" customHeight="1" x14ac:dyDescent="0.55000000000000004">
      <c r="A31" s="9" t="s">
        <v>74</v>
      </c>
      <c r="B31" s="5" t="s">
        <v>75</v>
      </c>
      <c r="C31" s="5" t="s">
        <v>69</v>
      </c>
      <c r="D31" s="5" t="s">
        <v>35</v>
      </c>
      <c r="E31" s="5" t="s">
        <v>54</v>
      </c>
      <c r="F31" s="5" t="s">
        <v>55</v>
      </c>
      <c r="G31" s="5" t="s">
        <v>16</v>
      </c>
    </row>
    <row r="32" spans="1:7" ht="13.5" customHeight="1" x14ac:dyDescent="0.55000000000000004">
      <c r="A32" s="9" t="s">
        <v>76</v>
      </c>
      <c r="B32" s="6" t="s">
        <v>77</v>
      </c>
      <c r="C32" s="6" t="s">
        <v>69</v>
      </c>
      <c r="D32" s="6" t="s">
        <v>35</v>
      </c>
      <c r="E32" s="6" t="s">
        <v>44</v>
      </c>
      <c r="F32" s="6" t="s">
        <v>45</v>
      </c>
      <c r="G32" s="6" t="s">
        <v>16</v>
      </c>
    </row>
    <row r="33" spans="1:7" ht="13.5" customHeight="1" x14ac:dyDescent="0.55000000000000004">
      <c r="A33" s="9" t="s">
        <v>78</v>
      </c>
      <c r="B33" s="5" t="s">
        <v>79</v>
      </c>
      <c r="C33" s="5" t="s">
        <v>69</v>
      </c>
      <c r="D33" s="5" t="s">
        <v>35</v>
      </c>
      <c r="E33" s="5" t="s">
        <v>44</v>
      </c>
      <c r="F33" s="5" t="s">
        <v>45</v>
      </c>
      <c r="G33" s="5" t="s">
        <v>16</v>
      </c>
    </row>
    <row r="34" spans="1:7" ht="13.5" customHeight="1" x14ac:dyDescent="0.55000000000000004">
      <c r="A34" s="9" t="s">
        <v>80</v>
      </c>
      <c r="B34" s="6" t="s">
        <v>81</v>
      </c>
      <c r="C34" s="6" t="s">
        <v>69</v>
      </c>
      <c r="D34" s="6" t="s">
        <v>35</v>
      </c>
      <c r="E34" s="6" t="s">
        <v>44</v>
      </c>
      <c r="F34" s="6" t="s">
        <v>45</v>
      </c>
      <c r="G34" s="6" t="s">
        <v>16</v>
      </c>
    </row>
    <row r="35" spans="1:7" ht="13.5" customHeight="1" x14ac:dyDescent="0.55000000000000004">
      <c r="A35" s="9" t="s">
        <v>82</v>
      </c>
      <c r="B35" s="5" t="s">
        <v>83</v>
      </c>
      <c r="C35" s="5" t="s">
        <v>69</v>
      </c>
      <c r="D35" s="5" t="s">
        <v>35</v>
      </c>
      <c r="E35" s="5" t="s">
        <v>44</v>
      </c>
      <c r="F35" s="5" t="s">
        <v>45</v>
      </c>
      <c r="G35" s="5" t="s">
        <v>16</v>
      </c>
    </row>
    <row r="36" spans="1:7" ht="15.75" customHeight="1" x14ac:dyDescent="0.55000000000000004">
      <c r="A36" s="54" t="s">
        <v>84</v>
      </c>
      <c r="B36" s="54"/>
      <c r="C36" s="54"/>
      <c r="D36" s="54"/>
      <c r="E36" s="54"/>
      <c r="F36" s="54"/>
      <c r="G36" s="54"/>
    </row>
    <row r="37" spans="1:7" ht="13.5" customHeight="1" x14ac:dyDescent="0.55000000000000004">
      <c r="A37" s="10" t="s">
        <v>85</v>
      </c>
      <c r="B37" s="5" t="s">
        <v>86</v>
      </c>
      <c r="C37" s="5" t="s">
        <v>87</v>
      </c>
      <c r="D37" s="5" t="s">
        <v>35</v>
      </c>
      <c r="E37" s="5" t="s">
        <v>88</v>
      </c>
      <c r="F37" s="5" t="s">
        <v>89</v>
      </c>
      <c r="G37" s="5" t="s">
        <v>90</v>
      </c>
    </row>
    <row r="38" spans="1:7" ht="13.5" customHeight="1" x14ac:dyDescent="0.55000000000000004">
      <c r="A38" s="10" t="s">
        <v>91</v>
      </c>
      <c r="B38" s="6" t="s">
        <v>92</v>
      </c>
      <c r="C38" s="6" t="s">
        <v>87</v>
      </c>
      <c r="D38" s="6" t="s">
        <v>35</v>
      </c>
      <c r="E38" s="6" t="s">
        <v>54</v>
      </c>
      <c r="F38" s="6" t="s">
        <v>55</v>
      </c>
      <c r="G38" s="6" t="s">
        <v>90</v>
      </c>
    </row>
    <row r="39" spans="1:7" ht="13.5" customHeight="1" x14ac:dyDescent="0.55000000000000004">
      <c r="A39" s="10" t="s">
        <v>93</v>
      </c>
      <c r="B39" s="5" t="s">
        <v>94</v>
      </c>
      <c r="C39" s="5" t="s">
        <v>87</v>
      </c>
      <c r="D39" s="5" t="s">
        <v>35</v>
      </c>
      <c r="E39" s="5" t="s">
        <v>54</v>
      </c>
      <c r="F39" s="5" t="s">
        <v>55</v>
      </c>
      <c r="G39" s="5" t="s">
        <v>90</v>
      </c>
    </row>
    <row r="40" spans="1:7" ht="13.5" customHeight="1" x14ac:dyDescent="0.55000000000000004">
      <c r="A40" s="10" t="s">
        <v>95</v>
      </c>
      <c r="B40" s="6" t="s">
        <v>96</v>
      </c>
      <c r="C40" s="6" t="s">
        <v>87</v>
      </c>
      <c r="D40" s="6" t="s">
        <v>35</v>
      </c>
      <c r="E40" s="6" t="s">
        <v>54</v>
      </c>
      <c r="F40" s="6" t="s">
        <v>55</v>
      </c>
      <c r="G40" s="6" t="s">
        <v>97</v>
      </c>
    </row>
    <row r="41" spans="1:7" ht="13.5" customHeight="1" x14ac:dyDescent="0.55000000000000004">
      <c r="A41" s="10" t="s">
        <v>98</v>
      </c>
      <c r="B41" s="5" t="s">
        <v>99</v>
      </c>
      <c r="C41" s="5" t="s">
        <v>87</v>
      </c>
      <c r="D41" s="5" t="s">
        <v>35</v>
      </c>
      <c r="E41" s="5" t="s">
        <v>54</v>
      </c>
      <c r="F41" s="5" t="s">
        <v>55</v>
      </c>
      <c r="G41" s="5" t="s">
        <v>90</v>
      </c>
    </row>
    <row r="42" spans="1:7" ht="13.5" customHeight="1" x14ac:dyDescent="0.55000000000000004">
      <c r="A42" s="10" t="s">
        <v>100</v>
      </c>
      <c r="B42" s="6" t="s">
        <v>101</v>
      </c>
      <c r="C42" s="6" t="s">
        <v>87</v>
      </c>
      <c r="D42" s="6" t="s">
        <v>35</v>
      </c>
      <c r="E42" s="6" t="s">
        <v>54</v>
      </c>
      <c r="F42" s="6" t="s">
        <v>55</v>
      </c>
      <c r="G42" s="6" t="s">
        <v>90</v>
      </c>
    </row>
    <row r="43" spans="1:7" ht="13.5" customHeight="1" x14ac:dyDescent="0.55000000000000004">
      <c r="A43" s="10" t="s">
        <v>102</v>
      </c>
      <c r="B43" s="5" t="s">
        <v>103</v>
      </c>
      <c r="C43" s="5" t="s">
        <v>87</v>
      </c>
      <c r="D43" s="5" t="s">
        <v>35</v>
      </c>
      <c r="E43" s="5" t="s">
        <v>54</v>
      </c>
      <c r="F43" s="5" t="s">
        <v>55</v>
      </c>
      <c r="G43" s="5" t="s">
        <v>90</v>
      </c>
    </row>
    <row r="44" spans="1:7" ht="13.5" customHeight="1" x14ac:dyDescent="0.55000000000000004">
      <c r="A44" s="10" t="s">
        <v>104</v>
      </c>
      <c r="B44" s="6" t="s">
        <v>105</v>
      </c>
      <c r="C44" s="6" t="s">
        <v>87</v>
      </c>
      <c r="D44" s="6" t="s">
        <v>35</v>
      </c>
      <c r="E44" s="6" t="s">
        <v>54</v>
      </c>
      <c r="F44" s="6" t="s">
        <v>55</v>
      </c>
      <c r="G44" s="6" t="s">
        <v>90</v>
      </c>
    </row>
    <row r="46" spans="1:7" ht="15.75" customHeight="1" x14ac:dyDescent="0.55000000000000004">
      <c r="A46" s="55" t="s">
        <v>106</v>
      </c>
      <c r="B46" s="55"/>
      <c r="C46" s="55"/>
      <c r="D46" s="55"/>
      <c r="E46" s="55"/>
      <c r="F46" s="55"/>
      <c r="G46" s="55"/>
    </row>
    <row r="47" spans="1:7" ht="13.5" customHeight="1" x14ac:dyDescent="0.55000000000000004">
      <c r="A47" s="11" t="s">
        <v>14</v>
      </c>
      <c r="B47" s="52" t="s">
        <v>15</v>
      </c>
      <c r="C47" s="52"/>
      <c r="D47" s="52"/>
      <c r="E47" s="52"/>
      <c r="F47" s="52"/>
      <c r="G47" s="52"/>
    </row>
    <row r="48" spans="1:7" ht="13.5" customHeight="1" x14ac:dyDescent="0.55000000000000004">
      <c r="A48" s="11" t="s">
        <v>44</v>
      </c>
      <c r="B48" s="52" t="s">
        <v>45</v>
      </c>
      <c r="C48" s="52"/>
      <c r="D48" s="52"/>
      <c r="E48" s="52"/>
      <c r="F48" s="52"/>
      <c r="G48" s="52"/>
    </row>
    <row r="49" spans="1:7" ht="13.5" customHeight="1" x14ac:dyDescent="0.55000000000000004">
      <c r="A49" s="11" t="s">
        <v>38</v>
      </c>
      <c r="B49" s="52" t="s">
        <v>39</v>
      </c>
      <c r="C49" s="52"/>
      <c r="D49" s="52"/>
      <c r="E49" s="52"/>
      <c r="F49" s="52"/>
      <c r="G49" s="52"/>
    </row>
    <row r="50" spans="1:7" ht="13.5" customHeight="1" x14ac:dyDescent="0.55000000000000004">
      <c r="A50" s="11" t="s">
        <v>88</v>
      </c>
      <c r="B50" s="52" t="s">
        <v>89</v>
      </c>
      <c r="C50" s="52"/>
      <c r="D50" s="52"/>
      <c r="E50" s="52"/>
      <c r="F50" s="52"/>
      <c r="G50" s="52"/>
    </row>
    <row r="51" spans="1:7" ht="13.5" customHeight="1" x14ac:dyDescent="0.55000000000000004">
      <c r="A51" s="11" t="s">
        <v>54</v>
      </c>
      <c r="B51" s="52" t="s">
        <v>55</v>
      </c>
      <c r="C51" s="52"/>
      <c r="D51" s="52"/>
      <c r="E51" s="52"/>
      <c r="F51" s="52"/>
      <c r="G51" s="52"/>
    </row>
  </sheetData>
  <mergeCells count="13">
    <mergeCell ref="A1:G1"/>
    <mergeCell ref="A2:G2"/>
    <mergeCell ref="A4:G4"/>
    <mergeCell ref="A13:G13"/>
    <mergeCell ref="A20:G20"/>
    <mergeCell ref="B49:G49"/>
    <mergeCell ref="B50:G50"/>
    <mergeCell ref="B51:G51"/>
    <mergeCell ref="A27:G27"/>
    <mergeCell ref="A36:G36"/>
    <mergeCell ref="A46:G46"/>
    <mergeCell ref="B47:G47"/>
    <mergeCell ref="B48:G4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5" sqref="D15"/>
    </sheetView>
  </sheetViews>
  <sheetFormatPr defaultColWidth="8.68359375" defaultRowHeight="14.4" x14ac:dyDescent="0.55000000000000004"/>
  <cols>
    <col min="1" max="1" width="12" customWidth="1"/>
    <col min="2" max="2" width="20" customWidth="1"/>
    <col min="3" max="4" width="18" customWidth="1"/>
    <col min="5" max="5" width="11" customWidth="1"/>
    <col min="6" max="6" width="18" customWidth="1"/>
    <col min="7" max="7" width="11" customWidth="1"/>
    <col min="8" max="9" width="16" customWidth="1"/>
    <col min="10" max="10" width="14" customWidth="1"/>
    <col min="11" max="12" width="11" customWidth="1"/>
  </cols>
  <sheetData>
    <row r="1" spans="1:12" ht="21.75" customHeight="1" x14ac:dyDescent="0.55000000000000004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3.5" customHeight="1" x14ac:dyDescent="0.55000000000000004">
      <c r="A2" s="50" t="s">
        <v>108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31.5" customHeight="1" x14ac:dyDescent="0.55000000000000004">
      <c r="A4" s="1" t="s">
        <v>109</v>
      </c>
      <c r="B4" s="1" t="s">
        <v>110</v>
      </c>
      <c r="C4" s="1" t="s">
        <v>111</v>
      </c>
      <c r="D4" s="1" t="s">
        <v>112</v>
      </c>
      <c r="E4" s="1" t="s">
        <v>113</v>
      </c>
      <c r="F4" s="1" t="s">
        <v>114</v>
      </c>
      <c r="G4" s="1" t="s">
        <v>115</v>
      </c>
      <c r="H4" s="1" t="s">
        <v>116</v>
      </c>
      <c r="I4" s="1" t="s">
        <v>117</v>
      </c>
      <c r="J4" s="1" t="s">
        <v>118</v>
      </c>
      <c r="K4" s="1" t="s">
        <v>119</v>
      </c>
      <c r="L4" s="1" t="s">
        <v>120</v>
      </c>
    </row>
    <row r="5" spans="1:12" x14ac:dyDescent="0.55000000000000004">
      <c r="A5" s="51" t="s">
        <v>121</v>
      </c>
      <c r="B5" s="5" t="s">
        <v>122</v>
      </c>
      <c r="C5" s="12">
        <v>480237975.66250598</v>
      </c>
      <c r="D5" s="13"/>
      <c r="E5" s="13"/>
      <c r="F5" s="13"/>
      <c r="G5" s="13"/>
      <c r="H5" s="12">
        <v>13794646.258872701</v>
      </c>
      <c r="I5" s="12">
        <v>10151.813818861199</v>
      </c>
      <c r="J5" s="12">
        <v>595731.63371095096</v>
      </c>
      <c r="K5" s="14">
        <f>C5/H5</f>
        <v>34.81335923011563</v>
      </c>
      <c r="L5" s="12">
        <f>C5/I5</f>
        <v>47305.63269100395</v>
      </c>
    </row>
    <row r="6" spans="1:12" x14ac:dyDescent="0.55000000000000004">
      <c r="A6" s="51"/>
      <c r="B6" s="6" t="s">
        <v>123</v>
      </c>
      <c r="C6" s="15">
        <v>480848904.69812202</v>
      </c>
      <c r="D6" s="16">
        <f>C6-C5</f>
        <v>610929.03561604023</v>
      </c>
      <c r="E6" s="17">
        <f>C6/C5-1</f>
        <v>1.2721381202167592E-3</v>
      </c>
      <c r="F6" s="18"/>
      <c r="G6" s="18"/>
      <c r="H6" s="15">
        <v>13789287.7253337</v>
      </c>
      <c r="I6" s="15">
        <v>13677.453770192</v>
      </c>
      <c r="J6" s="15">
        <v>635306.15695586102</v>
      </c>
      <c r="K6" s="19">
        <f>C6/H6</f>
        <v>34.871192354243625</v>
      </c>
      <c r="L6" s="15">
        <f>C6/I6</f>
        <v>35156.317307104451</v>
      </c>
    </row>
    <row r="7" spans="1:12" x14ac:dyDescent="0.55000000000000004">
      <c r="A7" s="51"/>
      <c r="B7" s="5" t="s">
        <v>124</v>
      </c>
      <c r="C7" s="12">
        <v>481222527.31869203</v>
      </c>
      <c r="D7" s="16">
        <f>C7-C5</f>
        <v>984551.65618604422</v>
      </c>
      <c r="E7" s="17">
        <f>C7/C5-1</f>
        <v>2.0501328634576765E-3</v>
      </c>
      <c r="F7" s="16">
        <f>C7-C6</f>
        <v>373622.62057000399</v>
      </c>
      <c r="G7" s="17">
        <f>C7/C6-1</f>
        <v>7.7700628392740612E-4</v>
      </c>
      <c r="H7" s="12">
        <v>13789285.237356801</v>
      </c>
      <c r="I7" s="12">
        <v>13607.496031839501</v>
      </c>
      <c r="J7" s="12">
        <v>633645.52351059101</v>
      </c>
      <c r="K7" s="14">
        <f>C7/H7</f>
        <v>34.898293786468599</v>
      </c>
      <c r="L7" s="12">
        <f>C7/I7</f>
        <v>35364.517189106904</v>
      </c>
    </row>
    <row r="8" spans="1:12" x14ac:dyDescent="0.5500000000000000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55000000000000004">
      <c r="A9" s="51" t="s">
        <v>125</v>
      </c>
      <c r="B9" s="5" t="s">
        <v>122</v>
      </c>
      <c r="C9" s="12">
        <v>743452134.15336096</v>
      </c>
      <c r="D9" s="13"/>
      <c r="E9" s="13"/>
      <c r="F9" s="13"/>
      <c r="G9" s="13"/>
      <c r="H9" s="12">
        <v>14046387.2331236</v>
      </c>
      <c r="I9" s="12">
        <v>76763.536237064502</v>
      </c>
      <c r="J9" s="12">
        <v>760325.84802173299</v>
      </c>
      <c r="K9" s="14">
        <f>C9/H9</f>
        <v>52.92835245209411</v>
      </c>
      <c r="L9" s="12">
        <f>C9/I9</f>
        <v>9684.9646407299369</v>
      </c>
    </row>
    <row r="10" spans="1:12" x14ac:dyDescent="0.55000000000000004">
      <c r="A10" s="51"/>
      <c r="B10" s="6" t="s">
        <v>123</v>
      </c>
      <c r="C10" s="15">
        <v>739875256.81327999</v>
      </c>
      <c r="D10" s="21">
        <f>C10-C9</f>
        <v>-3576877.3400809765</v>
      </c>
      <c r="E10" s="22">
        <f>C10/C9-1</f>
        <v>-4.8111736798688298E-3</v>
      </c>
      <c r="F10" s="18"/>
      <c r="G10" s="18"/>
      <c r="H10" s="15">
        <v>14033449.695313601</v>
      </c>
      <c r="I10" s="15">
        <v>78887.409831412297</v>
      </c>
      <c r="J10" s="15">
        <v>792704.22574824805</v>
      </c>
      <c r="K10" s="19">
        <f>C10/H10</f>
        <v>52.722265221811966</v>
      </c>
      <c r="L10" s="15">
        <f>C10/I10</f>
        <v>9378.8762794271388</v>
      </c>
    </row>
    <row r="11" spans="1:12" x14ac:dyDescent="0.55000000000000004">
      <c r="A11" s="51"/>
      <c r="B11" s="5" t="s">
        <v>124</v>
      </c>
      <c r="C11" s="12">
        <v>741528889.13575494</v>
      </c>
      <c r="D11" s="21">
        <f>C11-C9</f>
        <v>-1923245.01760602</v>
      </c>
      <c r="E11" s="22">
        <f>C11/C9-1</f>
        <v>-2.5869116910884893E-3</v>
      </c>
      <c r="F11" s="16">
        <f>C11-C10</f>
        <v>1653632.3224749565</v>
      </c>
      <c r="G11" s="17">
        <f>C11/C10-1</f>
        <v>2.2350150342873576E-3</v>
      </c>
      <c r="H11" s="12">
        <v>14038333.410547299</v>
      </c>
      <c r="I11" s="12">
        <v>78806.538449884494</v>
      </c>
      <c r="J11" s="12">
        <v>790490.08803420898</v>
      </c>
      <c r="K11" s="14">
        <f>C11/H11</f>
        <v>52.821718038027825</v>
      </c>
      <c r="L11" s="12">
        <f>C11/I11</f>
        <v>9409.4843362180673</v>
      </c>
    </row>
    <row r="12" spans="1:12" x14ac:dyDescent="0.5500000000000000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55000000000000004">
      <c r="A13" s="51" t="s">
        <v>126</v>
      </c>
      <c r="B13" s="5" t="s">
        <v>122</v>
      </c>
      <c r="C13" s="12">
        <v>299503903.25953698</v>
      </c>
      <c r="D13" s="13"/>
      <c r="E13" s="13"/>
      <c r="F13" s="13"/>
      <c r="G13" s="13"/>
      <c r="H13" s="12">
        <v>1324912.9285186899</v>
      </c>
      <c r="I13" s="12">
        <v>68614.039549842899</v>
      </c>
      <c r="J13" s="12">
        <v>227424.062837737</v>
      </c>
      <c r="K13" s="14">
        <f>C13/H13</f>
        <v>226.05553679244065</v>
      </c>
      <c r="L13" s="12">
        <f>C13/I13</f>
        <v>4365.0527679830029</v>
      </c>
    </row>
    <row r="14" spans="1:12" x14ac:dyDescent="0.55000000000000004">
      <c r="A14" s="51"/>
      <c r="B14" s="6" t="s">
        <v>123</v>
      </c>
      <c r="C14" s="15">
        <v>299355165.92013001</v>
      </c>
      <c r="D14" s="21">
        <f>C14-C13</f>
        <v>-148737.33940696716</v>
      </c>
      <c r="E14" s="22">
        <f>C14/C13-1</f>
        <v>-4.966123572622827E-4</v>
      </c>
      <c r="F14" s="18"/>
      <c r="G14" s="18"/>
      <c r="H14" s="15">
        <v>1428004.33884968</v>
      </c>
      <c r="I14" s="15">
        <v>68639.812873043498</v>
      </c>
      <c r="J14" s="15">
        <v>227274.66083804399</v>
      </c>
      <c r="K14" s="19">
        <f>C14/H14</f>
        <v>209.63183218425911</v>
      </c>
      <c r="L14" s="15">
        <f>C14/I14</f>
        <v>4361.2468244023139</v>
      </c>
    </row>
    <row r="15" spans="1:12" x14ac:dyDescent="0.55000000000000004">
      <c r="A15" s="51"/>
      <c r="B15" s="5" t="s">
        <v>124</v>
      </c>
      <c r="C15" s="12">
        <v>299237232.94833899</v>
      </c>
      <c r="D15" s="21">
        <f>C15-C13</f>
        <v>-266670.31119799614</v>
      </c>
      <c r="E15" s="22">
        <f>C15/C13-1</f>
        <v>-8.9037340847908375E-4</v>
      </c>
      <c r="F15" s="21">
        <f>C15-C14</f>
        <v>-117932.97179102898</v>
      </c>
      <c r="G15" s="22">
        <f>C15/C14-1</f>
        <v>-3.9395669497976904E-4</v>
      </c>
      <c r="H15" s="12">
        <v>1431141.90842458</v>
      </c>
      <c r="I15" s="12">
        <v>68652.263879013</v>
      </c>
      <c r="J15" s="12">
        <v>227287.28083804401</v>
      </c>
      <c r="K15" s="14">
        <f>C15/H15</f>
        <v>209.08984020860888</v>
      </c>
      <c r="L15" s="12">
        <f>C15/I15</f>
        <v>4358.7380232018222</v>
      </c>
    </row>
    <row r="16" spans="1:12" x14ac:dyDescent="0.5500000000000000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5">
    <mergeCell ref="A1:L1"/>
    <mergeCell ref="A2:L2"/>
    <mergeCell ref="A5:A7"/>
    <mergeCell ref="A9:A11"/>
    <mergeCell ref="A13:A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3" sqref="I23"/>
    </sheetView>
  </sheetViews>
  <sheetFormatPr defaultColWidth="8.68359375" defaultRowHeight="14.4" x14ac:dyDescent="0.55000000000000004"/>
  <cols>
    <col min="1" max="1" width="12" customWidth="1"/>
    <col min="2" max="2" width="22" customWidth="1"/>
    <col min="3" max="11" width="17" customWidth="1"/>
  </cols>
  <sheetData>
    <row r="1" spans="1:11" ht="21.75" customHeight="1" x14ac:dyDescent="0.55000000000000004">
      <c r="A1" s="49" t="s">
        <v>127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3" spans="1:11" ht="21.75" customHeight="1" x14ac:dyDescent="0.55000000000000004">
      <c r="A3" s="60" t="s">
        <v>128</v>
      </c>
      <c r="B3" s="60" t="s">
        <v>4</v>
      </c>
      <c r="C3" s="60" t="s">
        <v>121</v>
      </c>
      <c r="D3" s="60"/>
      <c r="E3" s="60"/>
      <c r="F3" s="60" t="s">
        <v>125</v>
      </c>
      <c r="G3" s="60"/>
      <c r="H3" s="60"/>
      <c r="I3" s="60" t="s">
        <v>126</v>
      </c>
      <c r="J3" s="60"/>
      <c r="K3" s="60"/>
    </row>
    <row r="4" spans="1:11" ht="21.75" customHeight="1" x14ac:dyDescent="0.55000000000000004">
      <c r="A4" s="60"/>
      <c r="B4" s="60"/>
      <c r="C4" s="1" t="s">
        <v>122</v>
      </c>
      <c r="D4" s="1" t="s">
        <v>123</v>
      </c>
      <c r="E4" s="1" t="s">
        <v>124</v>
      </c>
      <c r="F4" s="1" t="s">
        <v>122</v>
      </c>
      <c r="G4" s="1" t="s">
        <v>123</v>
      </c>
      <c r="H4" s="1" t="s">
        <v>124</v>
      </c>
      <c r="I4" s="1" t="s">
        <v>122</v>
      </c>
      <c r="J4" s="1" t="s">
        <v>123</v>
      </c>
      <c r="K4" s="1" t="s">
        <v>124</v>
      </c>
    </row>
    <row r="5" spans="1:11" ht="18" customHeight="1" x14ac:dyDescent="0.55000000000000004">
      <c r="A5" s="60"/>
      <c r="B5" s="60"/>
      <c r="C5" s="1" t="s">
        <v>129</v>
      </c>
      <c r="D5" s="1" t="s">
        <v>129</v>
      </c>
      <c r="E5" s="1" t="s">
        <v>129</v>
      </c>
      <c r="F5" s="1" t="s">
        <v>129</v>
      </c>
      <c r="G5" s="1" t="s">
        <v>129</v>
      </c>
      <c r="H5" s="1" t="s">
        <v>129</v>
      </c>
      <c r="I5" s="1" t="s">
        <v>129</v>
      </c>
      <c r="J5" s="1" t="s">
        <v>129</v>
      </c>
      <c r="K5" s="1" t="s">
        <v>129</v>
      </c>
    </row>
    <row r="6" spans="1:11" x14ac:dyDescent="0.55000000000000004">
      <c r="A6" s="59" t="s">
        <v>121</v>
      </c>
      <c r="B6" s="6" t="s">
        <v>12</v>
      </c>
      <c r="C6" s="15">
        <v>113442534.120985</v>
      </c>
      <c r="D6" s="15">
        <v>119470281.3221</v>
      </c>
      <c r="E6" s="15">
        <v>118350993.609501</v>
      </c>
      <c r="F6" s="15">
        <v>104451240.00616901</v>
      </c>
      <c r="G6" s="15">
        <v>109912268.969735</v>
      </c>
      <c r="H6" s="15">
        <v>108704930.172501</v>
      </c>
      <c r="I6" s="18"/>
      <c r="J6" s="18"/>
      <c r="K6" s="18"/>
    </row>
    <row r="7" spans="1:11" x14ac:dyDescent="0.55000000000000004">
      <c r="A7" s="59"/>
      <c r="B7" s="5" t="s">
        <v>34</v>
      </c>
      <c r="C7" s="12">
        <v>342320265.74086201</v>
      </c>
      <c r="D7" s="12">
        <v>316139713.40070498</v>
      </c>
      <c r="E7" s="12">
        <v>318904925.37515402</v>
      </c>
      <c r="F7" s="12">
        <v>505293546.935063</v>
      </c>
      <c r="G7" s="12">
        <v>478296479.70231301</v>
      </c>
      <c r="H7" s="12">
        <v>481196069.71103698</v>
      </c>
      <c r="I7" s="12">
        <v>186785355.330017</v>
      </c>
      <c r="J7" s="12">
        <v>186668101.33633301</v>
      </c>
      <c r="K7" s="12">
        <v>186292427.44285199</v>
      </c>
    </row>
    <row r="8" spans="1:11" x14ac:dyDescent="0.55000000000000004">
      <c r="A8" s="59"/>
      <c r="B8" s="6" t="s">
        <v>53</v>
      </c>
      <c r="C8" s="18"/>
      <c r="D8" s="18"/>
      <c r="E8" s="18"/>
      <c r="F8" s="15">
        <v>15233086.771973699</v>
      </c>
      <c r="G8" s="15">
        <v>15308788.4537997</v>
      </c>
      <c r="H8" s="15">
        <v>15256424.020739</v>
      </c>
      <c r="I8" s="15">
        <v>15643735.4511902</v>
      </c>
      <c r="J8" s="15">
        <v>15654117.7372442</v>
      </c>
      <c r="K8" s="15">
        <v>15702555.4366825</v>
      </c>
    </row>
    <row r="9" spans="1:11" x14ac:dyDescent="0.55000000000000004">
      <c r="A9" s="59"/>
      <c r="B9" s="5" t="s">
        <v>69</v>
      </c>
      <c r="C9" s="12">
        <v>43723.081897745898</v>
      </c>
      <c r="D9" s="12">
        <v>35324.945112148896</v>
      </c>
      <c r="E9" s="12">
        <v>42424.4633971039</v>
      </c>
      <c r="F9" s="12">
        <v>4730528.5972708901</v>
      </c>
      <c r="G9" s="12">
        <v>4718472.0136802001</v>
      </c>
      <c r="H9" s="12">
        <v>4743947.8650733996</v>
      </c>
      <c r="I9" s="12">
        <v>4858615.2505799904</v>
      </c>
      <c r="J9" s="12">
        <v>4876850.7451577699</v>
      </c>
      <c r="K9" s="12">
        <v>4827381.03621238</v>
      </c>
    </row>
    <row r="10" spans="1:11" x14ac:dyDescent="0.55000000000000004">
      <c r="A10" s="59"/>
      <c r="B10" s="6" t="s">
        <v>87</v>
      </c>
      <c r="C10" s="15">
        <v>24431452.718760699</v>
      </c>
      <c r="D10" s="15">
        <v>45203585.030204199</v>
      </c>
      <c r="E10" s="15">
        <v>43924183.870640099</v>
      </c>
      <c r="F10" s="15">
        <v>113743731.842885</v>
      </c>
      <c r="G10" s="15">
        <v>131639247.67375299</v>
      </c>
      <c r="H10" s="15">
        <v>131627517.366404</v>
      </c>
      <c r="I10" s="15">
        <v>92216197.227750093</v>
      </c>
      <c r="J10" s="15">
        <v>92156096.101395696</v>
      </c>
      <c r="K10" s="15">
        <v>92414869.032592207</v>
      </c>
    </row>
    <row r="11" spans="1:11" x14ac:dyDescent="0.55000000000000004">
      <c r="A11" s="59"/>
      <c r="B11" s="5" t="s">
        <v>130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55000000000000004">
      <c r="A12" s="23"/>
      <c r="B12" s="24" t="s">
        <v>131</v>
      </c>
      <c r="C12" s="25">
        <v>480237975.66250598</v>
      </c>
      <c r="D12" s="25">
        <v>480848904.69812202</v>
      </c>
      <c r="E12" s="25">
        <v>481222527.31869203</v>
      </c>
      <c r="F12" s="25">
        <v>743452134.15336096</v>
      </c>
      <c r="G12" s="25">
        <v>739875256.81327999</v>
      </c>
      <c r="H12" s="25">
        <v>741528889.13575494</v>
      </c>
      <c r="I12" s="25">
        <v>299503903.25953698</v>
      </c>
      <c r="J12" s="25">
        <v>299355165.92013001</v>
      </c>
      <c r="K12" s="25">
        <v>299237232.94833899</v>
      </c>
    </row>
    <row r="14" spans="1:11" x14ac:dyDescent="0.55000000000000004">
      <c r="A14" s="59" t="s">
        <v>125</v>
      </c>
      <c r="B14" s="6" t="s">
        <v>12</v>
      </c>
      <c r="C14" s="15">
        <v>113442534.120985</v>
      </c>
      <c r="D14" s="15">
        <v>119470281.3221</v>
      </c>
      <c r="E14" s="15">
        <v>118350993.609501</v>
      </c>
      <c r="F14" s="15">
        <v>104451240.00616901</v>
      </c>
      <c r="G14" s="15">
        <v>109912268.969735</v>
      </c>
      <c r="H14" s="15">
        <v>108704930.172501</v>
      </c>
      <c r="I14" s="18"/>
      <c r="J14" s="18"/>
      <c r="K14" s="18"/>
    </row>
    <row r="15" spans="1:11" x14ac:dyDescent="0.55000000000000004">
      <c r="A15" s="59"/>
      <c r="B15" s="5" t="s">
        <v>34</v>
      </c>
      <c r="C15" s="12">
        <v>342320265.74086201</v>
      </c>
      <c r="D15" s="12">
        <v>316139713.40070498</v>
      </c>
      <c r="E15" s="12">
        <v>318904925.37515402</v>
      </c>
      <c r="F15" s="12">
        <v>505293546.935063</v>
      </c>
      <c r="G15" s="12">
        <v>478296479.70231301</v>
      </c>
      <c r="H15" s="12">
        <v>481196069.71103698</v>
      </c>
      <c r="I15" s="12">
        <v>186785355.330017</v>
      </c>
      <c r="J15" s="12">
        <v>186668101.33633301</v>
      </c>
      <c r="K15" s="12">
        <v>186292427.44285199</v>
      </c>
    </row>
    <row r="16" spans="1:11" x14ac:dyDescent="0.55000000000000004">
      <c r="A16" s="59"/>
      <c r="B16" s="6" t="s">
        <v>53</v>
      </c>
      <c r="C16" s="18"/>
      <c r="D16" s="18"/>
      <c r="E16" s="18"/>
      <c r="F16" s="15">
        <v>15233086.771973699</v>
      </c>
      <c r="G16" s="15">
        <v>15308788.4537997</v>
      </c>
      <c r="H16" s="15">
        <v>15256424.020739</v>
      </c>
      <c r="I16" s="15">
        <v>15643735.4511902</v>
      </c>
      <c r="J16" s="15">
        <v>15654117.7372442</v>
      </c>
      <c r="K16" s="15">
        <v>15702555.4366825</v>
      </c>
    </row>
    <row r="17" spans="1:11" x14ac:dyDescent="0.55000000000000004">
      <c r="A17" s="59"/>
      <c r="B17" s="5" t="s">
        <v>69</v>
      </c>
      <c r="C17" s="12">
        <v>43723.081897745898</v>
      </c>
      <c r="D17" s="12">
        <v>35324.945112148896</v>
      </c>
      <c r="E17" s="12">
        <v>42424.4633971039</v>
      </c>
      <c r="F17" s="12">
        <v>4730528.5972708901</v>
      </c>
      <c r="G17" s="12">
        <v>4718472.0136802001</v>
      </c>
      <c r="H17" s="12">
        <v>4743947.8650733996</v>
      </c>
      <c r="I17" s="12">
        <v>4858615.2505799904</v>
      </c>
      <c r="J17" s="12">
        <v>4876850.7451577699</v>
      </c>
      <c r="K17" s="12">
        <v>4827381.03621238</v>
      </c>
    </row>
    <row r="18" spans="1:11" x14ac:dyDescent="0.55000000000000004">
      <c r="A18" s="59"/>
      <c r="B18" s="6" t="s">
        <v>87</v>
      </c>
      <c r="C18" s="15">
        <v>24431452.718760699</v>
      </c>
      <c r="D18" s="15">
        <v>45203585.030204199</v>
      </c>
      <c r="E18" s="15">
        <v>43924183.870640099</v>
      </c>
      <c r="F18" s="15">
        <v>113743731.842885</v>
      </c>
      <c r="G18" s="15">
        <v>131639247.67375299</v>
      </c>
      <c r="H18" s="15">
        <v>131627517.366404</v>
      </c>
      <c r="I18" s="15">
        <v>92216197.227750093</v>
      </c>
      <c r="J18" s="15">
        <v>92156096.101395696</v>
      </c>
      <c r="K18" s="15">
        <v>92414869.032592207</v>
      </c>
    </row>
    <row r="19" spans="1:11" x14ac:dyDescent="0.55000000000000004">
      <c r="A19" s="59"/>
      <c r="B19" s="5" t="s">
        <v>130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55000000000000004">
      <c r="A20" s="23"/>
      <c r="B20" s="24" t="s">
        <v>132</v>
      </c>
      <c r="C20" s="25">
        <v>480237975.66250598</v>
      </c>
      <c r="D20" s="25">
        <v>480848904.69812202</v>
      </c>
      <c r="E20" s="25">
        <v>481222527.31869203</v>
      </c>
      <c r="F20" s="25">
        <v>743452134.15336096</v>
      </c>
      <c r="G20" s="25">
        <v>739875256.81327999</v>
      </c>
      <c r="H20" s="25">
        <v>741528889.13575494</v>
      </c>
      <c r="I20" s="25">
        <v>299503903.25953698</v>
      </c>
      <c r="J20" s="25">
        <v>299355165.92013001</v>
      </c>
      <c r="K20" s="25">
        <v>299237232.94833899</v>
      </c>
    </row>
    <row r="22" spans="1:11" x14ac:dyDescent="0.55000000000000004">
      <c r="A22" s="59" t="s">
        <v>126</v>
      </c>
      <c r="B22" s="6" t="s">
        <v>12</v>
      </c>
      <c r="C22" s="15">
        <v>113442534.120985</v>
      </c>
      <c r="D22" s="15">
        <v>119470281.3221</v>
      </c>
      <c r="E22" s="15">
        <v>118350993.609501</v>
      </c>
      <c r="F22" s="15">
        <v>104451240.00616901</v>
      </c>
      <c r="G22" s="15">
        <v>109912268.969735</v>
      </c>
      <c r="H22" s="15">
        <v>108704930.172501</v>
      </c>
      <c r="I22" s="18"/>
      <c r="J22" s="18"/>
      <c r="K22" s="18"/>
    </row>
    <row r="23" spans="1:11" x14ac:dyDescent="0.55000000000000004">
      <c r="A23" s="59"/>
      <c r="B23" s="5" t="s">
        <v>34</v>
      </c>
      <c r="C23" s="12">
        <v>342320265.74086201</v>
      </c>
      <c r="D23" s="12">
        <v>316139713.40070498</v>
      </c>
      <c r="E23" s="12">
        <v>318904925.37515402</v>
      </c>
      <c r="F23" s="12">
        <v>505293546.935063</v>
      </c>
      <c r="G23" s="12">
        <v>478296479.70231301</v>
      </c>
      <c r="H23" s="12">
        <v>481196069.71103698</v>
      </c>
      <c r="I23" s="12">
        <v>186785355.330017</v>
      </c>
      <c r="J23" s="12">
        <v>186668101.33633301</v>
      </c>
      <c r="K23" s="12">
        <v>186292427.44285199</v>
      </c>
    </row>
    <row r="24" spans="1:11" x14ac:dyDescent="0.55000000000000004">
      <c r="A24" s="59"/>
      <c r="B24" s="6" t="s">
        <v>53</v>
      </c>
      <c r="C24" s="18"/>
      <c r="D24" s="18"/>
      <c r="E24" s="18"/>
      <c r="F24" s="15">
        <v>15233086.771973699</v>
      </c>
      <c r="G24" s="15">
        <v>15308788.4537997</v>
      </c>
      <c r="H24" s="15">
        <v>15256424.020739</v>
      </c>
      <c r="I24" s="15">
        <v>15643735.4511902</v>
      </c>
      <c r="J24" s="15">
        <v>15654117.7372442</v>
      </c>
      <c r="K24" s="15">
        <v>15702555.4366825</v>
      </c>
    </row>
    <row r="25" spans="1:11" x14ac:dyDescent="0.55000000000000004">
      <c r="A25" s="59"/>
      <c r="B25" s="5" t="s">
        <v>69</v>
      </c>
      <c r="C25" s="12">
        <v>43723.081897745898</v>
      </c>
      <c r="D25" s="12">
        <v>35324.945112148896</v>
      </c>
      <c r="E25" s="12">
        <v>42424.4633971039</v>
      </c>
      <c r="F25" s="12">
        <v>4730528.5972708901</v>
      </c>
      <c r="G25" s="12">
        <v>4718472.0136802001</v>
      </c>
      <c r="H25" s="12">
        <v>4743947.8650733996</v>
      </c>
      <c r="I25" s="12">
        <v>4858615.2505799904</v>
      </c>
      <c r="J25" s="12">
        <v>4876850.7451577699</v>
      </c>
      <c r="K25" s="12">
        <v>4827381.03621238</v>
      </c>
    </row>
    <row r="26" spans="1:11" x14ac:dyDescent="0.55000000000000004">
      <c r="A26" s="59"/>
      <c r="B26" s="6" t="s">
        <v>87</v>
      </c>
      <c r="C26" s="15">
        <v>24431452.718760699</v>
      </c>
      <c r="D26" s="15">
        <v>45203585.030204199</v>
      </c>
      <c r="E26" s="15">
        <v>43924183.870640099</v>
      </c>
      <c r="F26" s="15">
        <v>113743731.842885</v>
      </c>
      <c r="G26" s="15">
        <v>131639247.67375299</v>
      </c>
      <c r="H26" s="15">
        <v>131627517.366404</v>
      </c>
      <c r="I26" s="15">
        <v>92216197.227750093</v>
      </c>
      <c r="J26" s="15">
        <v>92156096.101395696</v>
      </c>
      <c r="K26" s="15">
        <v>92414869.032592207</v>
      </c>
    </row>
    <row r="27" spans="1:11" x14ac:dyDescent="0.55000000000000004">
      <c r="A27" s="59"/>
      <c r="B27" s="5" t="s">
        <v>130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55000000000000004">
      <c r="A28" s="23"/>
      <c r="B28" s="24" t="s">
        <v>133</v>
      </c>
      <c r="C28" s="25">
        <v>480237975.66250598</v>
      </c>
      <c r="D28" s="25">
        <v>480848904.69812202</v>
      </c>
      <c r="E28" s="25">
        <v>481222527.31869203</v>
      </c>
      <c r="F28" s="25">
        <v>743452134.15336096</v>
      </c>
      <c r="G28" s="25">
        <v>739875256.81327999</v>
      </c>
      <c r="H28" s="25">
        <v>741528889.13575494</v>
      </c>
      <c r="I28" s="25">
        <v>299503903.25953698</v>
      </c>
      <c r="J28" s="25">
        <v>299355165.92013001</v>
      </c>
      <c r="K28" s="25">
        <v>299237232.94833899</v>
      </c>
    </row>
  </sheetData>
  <mergeCells count="9">
    <mergeCell ref="A6:A11"/>
    <mergeCell ref="A14:A19"/>
    <mergeCell ref="A22:A27"/>
    <mergeCell ref="A1:K1"/>
    <mergeCell ref="A3:A5"/>
    <mergeCell ref="B3:B5"/>
    <mergeCell ref="C3:E3"/>
    <mergeCell ref="F3:H3"/>
    <mergeCell ref="I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defaultColWidth="8.68359375" defaultRowHeight="14.4" x14ac:dyDescent="0.55000000000000004"/>
  <cols>
    <col min="1" max="1" width="16" customWidth="1"/>
    <col min="2" max="2" width="18" customWidth="1"/>
    <col min="3" max="3" width="16" customWidth="1"/>
    <col min="4" max="4" width="13" customWidth="1"/>
    <col min="5" max="5" width="16" customWidth="1"/>
    <col min="6" max="6" width="13" customWidth="1"/>
    <col min="7" max="7" width="16" customWidth="1"/>
    <col min="8" max="8" width="13" customWidth="1"/>
    <col min="9" max="9" width="16" customWidth="1"/>
    <col min="10" max="10" width="13" customWidth="1"/>
    <col min="11" max="11" width="16" customWidth="1"/>
    <col min="12" max="12" width="13" customWidth="1"/>
    <col min="13" max="13" width="16" customWidth="1"/>
    <col min="14" max="14" width="13" customWidth="1"/>
    <col min="15" max="15" width="16" customWidth="1"/>
    <col min="16" max="16" width="13" customWidth="1"/>
    <col min="17" max="17" width="16" customWidth="1"/>
    <col min="18" max="18" width="13" customWidth="1"/>
    <col min="19" max="19" width="16" customWidth="1"/>
    <col min="20" max="20" width="13" customWidth="1"/>
  </cols>
  <sheetData>
    <row r="1" spans="1:20" ht="21.75" customHeight="1" x14ac:dyDescent="0.55000000000000004">
      <c r="A1" s="49" t="s">
        <v>134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3.5" customHeight="1" x14ac:dyDescent="0.55000000000000004">
      <c r="A2" s="50" t="s">
        <v>135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9.5" customHeight="1" x14ac:dyDescent="0.55000000000000004">
      <c r="A3" s="60" t="s">
        <v>136</v>
      </c>
      <c r="B3" s="60" t="s">
        <v>4</v>
      </c>
      <c r="C3" s="60" t="s">
        <v>121</v>
      </c>
      <c r="D3" s="60"/>
      <c r="E3" s="60"/>
      <c r="F3" s="60"/>
      <c r="G3" s="60"/>
      <c r="H3" s="60"/>
      <c r="I3" s="60" t="s">
        <v>125</v>
      </c>
      <c r="J3" s="60"/>
      <c r="K3" s="60"/>
      <c r="L3" s="60"/>
      <c r="M3" s="60"/>
      <c r="N3" s="60"/>
      <c r="O3" s="60" t="s">
        <v>126</v>
      </c>
      <c r="P3" s="60"/>
      <c r="Q3" s="60"/>
      <c r="R3" s="60"/>
      <c r="S3" s="60"/>
      <c r="T3" s="60"/>
    </row>
    <row r="4" spans="1:20" ht="21.75" customHeight="1" x14ac:dyDescent="0.55000000000000004">
      <c r="A4" s="60"/>
      <c r="B4" s="60"/>
      <c r="C4" s="61" t="s">
        <v>122</v>
      </c>
      <c r="D4" s="61"/>
      <c r="E4" s="61" t="s">
        <v>123</v>
      </c>
      <c r="F4" s="61"/>
      <c r="G4" s="61" t="s">
        <v>124</v>
      </c>
      <c r="H4" s="61"/>
      <c r="I4" s="61" t="s">
        <v>122</v>
      </c>
      <c r="J4" s="61"/>
      <c r="K4" s="61" t="s">
        <v>123</v>
      </c>
      <c r="L4" s="61"/>
      <c r="M4" s="61" t="s">
        <v>124</v>
      </c>
      <c r="N4" s="61"/>
      <c r="O4" s="61" t="s">
        <v>122</v>
      </c>
      <c r="P4" s="61"/>
      <c r="Q4" s="61" t="s">
        <v>123</v>
      </c>
      <c r="R4" s="61"/>
      <c r="S4" s="61" t="s">
        <v>124</v>
      </c>
      <c r="T4" s="61"/>
    </row>
    <row r="5" spans="1:20" ht="18" customHeight="1" x14ac:dyDescent="0.55000000000000004">
      <c r="A5" s="60"/>
      <c r="B5" s="60"/>
      <c r="C5" s="1" t="s">
        <v>137</v>
      </c>
      <c r="D5" s="1" t="s">
        <v>138</v>
      </c>
      <c r="E5" s="1" t="s">
        <v>137</v>
      </c>
      <c r="F5" s="1" t="s">
        <v>138</v>
      </c>
      <c r="G5" s="1" t="s">
        <v>137</v>
      </c>
      <c r="H5" s="1" t="s">
        <v>138</v>
      </c>
      <c r="I5" s="1" t="s">
        <v>137</v>
      </c>
      <c r="J5" s="1" t="s">
        <v>138</v>
      </c>
      <c r="K5" s="1" t="s">
        <v>137</v>
      </c>
      <c r="L5" s="1" t="s">
        <v>138</v>
      </c>
      <c r="M5" s="1" t="s">
        <v>137</v>
      </c>
      <c r="N5" s="1" t="s">
        <v>138</v>
      </c>
      <c r="O5" s="1" t="s">
        <v>137</v>
      </c>
      <c r="P5" s="1" t="s">
        <v>138</v>
      </c>
      <c r="Q5" s="1" t="s">
        <v>137</v>
      </c>
      <c r="R5" s="1" t="s">
        <v>138</v>
      </c>
      <c r="S5" s="1" t="s">
        <v>137</v>
      </c>
      <c r="T5" s="1" t="s">
        <v>138</v>
      </c>
    </row>
    <row r="6" spans="1:20" x14ac:dyDescent="0.55000000000000004">
      <c r="A6" s="2" t="s">
        <v>10</v>
      </c>
      <c r="B6" s="6" t="s">
        <v>12</v>
      </c>
      <c r="C6" s="26">
        <f>HYPERLINK("[N Only Old retention.xlsx]'National Results By Measure'!B2", 33692647.7639986)</f>
        <v>33692647.763998598</v>
      </c>
      <c r="D6" s="27">
        <f>HYPERLINK("[N Only Old retention.xlsx]'National Results By Measure'!E2", 105716.993999996)</f>
        <v>105716.993999996</v>
      </c>
      <c r="E6" s="26">
        <f>HYPERLINK("[N Only New retention.xlsx]'National Results By Measure'!B2", 34797673.1939994)</f>
        <v>34797673.193999402</v>
      </c>
      <c r="F6" s="27">
        <f>HYPERLINK("[N Only New retention.xlsx]'National Results By Measure'!E2", 109259.919999999)</f>
        <v>109259.91999999899</v>
      </c>
      <c r="G6" s="26">
        <f>HYPERLINK("[N Only with New retention and Differentiation.xlsx]'National Results By Measure'!B2", 35612836.6139996)</f>
        <v>35612836.613999598</v>
      </c>
      <c r="H6" s="27">
        <f>HYPERLINK("[N Only with New retention and Differentiation.xlsx]'National Results By Measure'!E2", 111886.803999999)</f>
        <v>111886.803999999</v>
      </c>
      <c r="I6" s="26">
        <f>HYPERLINK("[N&amp;P Old retention.xlsx]'National Results By Measure'!B2", 30652483.098)</f>
        <v>30652483.098000001</v>
      </c>
      <c r="J6" s="27">
        <f>HYPERLINK("[N&amp;P Old retention.xlsx]'National Results By Measure'!E2", 95866.898)</f>
        <v>95866.898000000001</v>
      </c>
      <c r="K6" s="26">
        <f>HYPERLINK("[N&amp;P New retention.xlsx]'National Results By Measure'!B2", 31374134.184)</f>
        <v>31374134.184</v>
      </c>
      <c r="L6" s="27">
        <f>HYPERLINK("[N&amp;P New retention.xlsx]'National Results By Measure'!E2", 98281.346)</f>
        <v>98281.346000000005</v>
      </c>
      <c r="M6" s="26">
        <f>HYPERLINK("[N&amp;P with New retention and Differentiation.xlsx]'National Results By Measure'!B2", 32198051.1119999)</f>
        <v>32198051.111999899</v>
      </c>
      <c r="N6" s="27">
        <f>HYPERLINK("[N&amp;P with New retention and Differentiation.xlsx]'National Results By Measure'!E2", 100915.016)</f>
        <v>100915.016</v>
      </c>
      <c r="O6" s="18"/>
      <c r="P6" s="18"/>
      <c r="Q6" s="18"/>
      <c r="R6" s="18"/>
      <c r="S6" s="18"/>
      <c r="T6" s="18"/>
    </row>
    <row r="7" spans="1:20" x14ac:dyDescent="0.55000000000000004">
      <c r="A7" s="3" t="s">
        <v>17</v>
      </c>
      <c r="B7" s="5" t="s">
        <v>12</v>
      </c>
      <c r="C7" s="28">
        <f>HYPERLINK("[N Only Old retention.xlsx]'National Results By Measure'!B3", 427153.32)</f>
        <v>427153.32</v>
      </c>
      <c r="D7" s="29">
        <f>HYPERLINK("[N Only Old retention.xlsx]'National Results By Measure'!E3", 215.734)</f>
        <v>215.73400000000001</v>
      </c>
      <c r="E7" s="28">
        <f>HYPERLINK("[N Only New retention.xlsx]'National Results By Measure'!B3", 398985.768)</f>
        <v>398985.76799999998</v>
      </c>
      <c r="F7" s="29">
        <f>HYPERLINK("[N Only New retention.xlsx]'National Results By Measure'!E3", 198.872)</f>
        <v>198.87200000000001</v>
      </c>
      <c r="G7" s="28">
        <f>HYPERLINK("[N Only with New retention and Differentiation.xlsx]'National Results By Measure'!B3", 371670.12)</f>
        <v>371670.12</v>
      </c>
      <c r="H7" s="29">
        <f>HYPERLINK("[N Only with New retention and Differentiation.xlsx]'National Results By Measure'!E3", 185.104)</f>
        <v>185.10400000000001</v>
      </c>
      <c r="I7" s="28">
        <f>HYPERLINK("[N&amp;P Old retention.xlsx]'National Results By Measure'!B3", 410926.464)</f>
        <v>410926.46399999998</v>
      </c>
      <c r="J7" s="29">
        <f>HYPERLINK("[N&amp;P Old retention.xlsx]'National Results By Measure'!E3", 207.536)</f>
        <v>207.536</v>
      </c>
      <c r="K7" s="28">
        <f>HYPERLINK("[N&amp;P New retention.xlsx]'National Results By Measure'!B3", 389673.288)</f>
        <v>389673.288</v>
      </c>
      <c r="L7" s="29">
        <f>HYPERLINK("[N&amp;P New retention.xlsx]'National Results By Measure'!E3", 194.17)</f>
        <v>194.17</v>
      </c>
      <c r="M7" s="28">
        <f>HYPERLINK("[N&amp;P with New retention and Differentiation.xlsx]'National Results By Measure'!B3", 365951.88)</f>
        <v>365951.88</v>
      </c>
      <c r="N7" s="29">
        <f>HYPERLINK("[N&amp;P with New retention and Differentiation.xlsx]'National Results By Measure'!E3", 182.216)</f>
        <v>182.21600000000001</v>
      </c>
      <c r="O7" s="13"/>
      <c r="P7" s="13"/>
      <c r="Q7" s="13"/>
      <c r="R7" s="13"/>
      <c r="S7" s="13"/>
      <c r="T7" s="13"/>
    </row>
    <row r="8" spans="1:20" x14ac:dyDescent="0.55000000000000004">
      <c r="A8" s="2" t="s">
        <v>19</v>
      </c>
      <c r="B8" s="6" t="s">
        <v>12</v>
      </c>
      <c r="C8" s="26">
        <f>HYPERLINK("[N Only Old retention.xlsx]'National Results By Measure'!B4", 69961800.867152)</f>
        <v>69961800.867152005</v>
      </c>
      <c r="D8" s="27">
        <f>HYPERLINK("[N Only Old retention.xlsx]'National Results By Measure'!E4", 79979.3859999933)</f>
        <v>79979.385999993305</v>
      </c>
      <c r="E8" s="26">
        <f>HYPERLINK("[N Only New retention.xlsx]'National Results By Measure'!B4", 74743929.5190696)</f>
        <v>74743929.519069597</v>
      </c>
      <c r="F8" s="27">
        <f>HYPERLINK("[N Only New retention.xlsx]'National Results By Measure'!E4", 82965.8239999984)</f>
        <v>82965.823999998407</v>
      </c>
      <c r="G8" s="26">
        <f>HYPERLINK("[N Only with New retention and Differentiation.xlsx]'National Results By Measure'!B4", 72543711.9557317)</f>
        <v>72543711.955731705</v>
      </c>
      <c r="H8" s="27">
        <f>HYPERLINK("[N Only with New retention and Differentiation.xlsx]'National Results By Measure'!E4", 81114.3199999989)</f>
        <v>81114.319999998901</v>
      </c>
      <c r="I8" s="26">
        <f>HYPERLINK("[N&amp;P Old retention.xlsx]'National Results By Measure'!B4", 64961640.4349366)</f>
        <v>64961640.434936598</v>
      </c>
      <c r="J8" s="27">
        <f>HYPERLINK("[N&amp;P Old retention.xlsx]'National Results By Measure'!E4", 73026.114)</f>
        <v>73026.114000000001</v>
      </c>
      <c r="K8" s="26">
        <f>HYPERLINK("[N&amp;P New retention.xlsx]'National Results By Measure'!B4", 69660246.0637032)</f>
        <v>69660246.063703194</v>
      </c>
      <c r="L8" s="27">
        <f>HYPERLINK("[N&amp;P New retention.xlsx]'National Results By Measure'!E4", 75434.738)</f>
        <v>75434.737999999998</v>
      </c>
      <c r="M8" s="26">
        <f>HYPERLINK("[N&amp;P with New retention and Differentiation.xlsx]'National Results By Measure'!B4", 67364677.1699643)</f>
        <v>67364677.169964299</v>
      </c>
      <c r="N8" s="27">
        <f>HYPERLINK("[N&amp;P with New retention and Differentiation.xlsx]'National Results By Measure'!E4", 73401.814)</f>
        <v>73401.813999999998</v>
      </c>
      <c r="O8" s="18"/>
      <c r="P8" s="18"/>
      <c r="Q8" s="18"/>
      <c r="R8" s="18"/>
      <c r="S8" s="18"/>
      <c r="T8" s="18"/>
    </row>
    <row r="9" spans="1:20" x14ac:dyDescent="0.55000000000000004">
      <c r="A9" s="3" t="s">
        <v>21</v>
      </c>
      <c r="B9" s="5" t="s">
        <v>12</v>
      </c>
      <c r="C9" s="28">
        <f>HYPERLINK("[N Only Old retention.xlsx]'National Results By Measure'!B5", 316766.612499741)</f>
        <v>316766.61249974102</v>
      </c>
      <c r="D9" s="29">
        <f>HYPERLINK("[N Only Old retention.xlsx]'National Results By Measure'!E5", 974.666499999204)</f>
        <v>974.66649999920401</v>
      </c>
      <c r="E9" s="28">
        <f>HYPERLINK("[N Only New retention.xlsx]'National Results By Measure'!B5", 275133.624999861)</f>
        <v>275133.624999861</v>
      </c>
      <c r="F9" s="29">
        <f>HYPERLINK("[N Only New retention.xlsx]'National Results By Measure'!E5", 846.564999999572)</f>
        <v>846.56499999957202</v>
      </c>
      <c r="G9" s="28">
        <f>HYPERLINK("[N Only with New retention and Differentiation.xlsx]'National Results By Measure'!B5", 273891.149999861)</f>
        <v>273891.14999986102</v>
      </c>
      <c r="H9" s="29">
        <f>HYPERLINK("[N Only with New retention and Differentiation.xlsx]'National Results By Measure'!E5", 842.741999999572)</f>
        <v>842.74199999957204</v>
      </c>
      <c r="I9" s="28">
        <f>HYPERLINK("[N&amp;P Old retention.xlsx]'National Results By Measure'!B5", 273263.0875)</f>
        <v>273263.08750000002</v>
      </c>
      <c r="J9" s="29">
        <f>HYPERLINK("[N&amp;P Old retention.xlsx]'National Results By Measure'!E5", 840.8095)</f>
        <v>840.80949999999996</v>
      </c>
      <c r="K9" s="28">
        <f>HYPERLINK("[N&amp;P New retention.xlsx]'National Results By Measure'!B5", 252583.5)</f>
        <v>252583.5</v>
      </c>
      <c r="L9" s="29">
        <f>HYPERLINK("[N&amp;P New retention.xlsx]'National Results By Measure'!E5", 777.18)</f>
        <v>777.18</v>
      </c>
      <c r="M9" s="28">
        <f>HYPERLINK("[N&amp;P with New retention and Differentiation.xlsx]'National Results By Measure'!B5", 250590.6)</f>
        <v>250590.6</v>
      </c>
      <c r="N9" s="29">
        <f>HYPERLINK("[N&amp;P with New retention and Differentiation.xlsx]'National Results By Measure'!E5", 771.048)</f>
        <v>771.048</v>
      </c>
      <c r="O9" s="13"/>
      <c r="P9" s="13"/>
      <c r="Q9" s="13"/>
      <c r="R9" s="13"/>
      <c r="S9" s="13"/>
      <c r="T9" s="13"/>
    </row>
    <row r="10" spans="1:20" x14ac:dyDescent="0.55000000000000004">
      <c r="A10" s="2" t="s">
        <v>23</v>
      </c>
      <c r="B10" s="6" t="s">
        <v>12</v>
      </c>
      <c r="C10" s="26">
        <f>HYPERLINK("[N Only Old retention.xlsx]'National Results By Measure'!B6", 5167647.71999977)</f>
        <v>5167647.7199997697</v>
      </c>
      <c r="D10" s="27">
        <f>HYPERLINK("[N Only Old retention.xlsx]'National Results By Measure'!E6", 25838.2385999988)</f>
        <v>25838.2385999988</v>
      </c>
      <c r="E10" s="26">
        <f>HYPERLINK("[N Only New retention.xlsx]'National Results By Measure'!B6", 5281279.91999981)</f>
        <v>5281279.9199998099</v>
      </c>
      <c r="F10" s="27">
        <f>HYPERLINK("[N Only New retention.xlsx]'National Results By Measure'!E6", 26406.3995999991)</f>
        <v>26406.399599999098</v>
      </c>
      <c r="G10" s="26">
        <f>HYPERLINK("[N Only with New retention and Differentiation.xlsx]'National Results By Measure'!B6", 5310442.91999979)</f>
        <v>5310442.9199997904</v>
      </c>
      <c r="H10" s="27">
        <f>HYPERLINK("[N Only with New retention and Differentiation.xlsx]'National Results By Measure'!E6", 26552.2145999989)</f>
        <v>26552.214599998901</v>
      </c>
      <c r="I10" s="26">
        <f>HYPERLINK("[N&amp;P Old retention.xlsx]'National Results By Measure'!B6", 4401254.04)</f>
        <v>4401254.04</v>
      </c>
      <c r="J10" s="27">
        <f>HYPERLINK("[N&amp;P Old retention.xlsx]'National Results By Measure'!E6", 22006.2702)</f>
        <v>22006.270199999999</v>
      </c>
      <c r="K10" s="26">
        <f>HYPERLINK("[N&amp;P New retention.xlsx]'National Results By Measure'!B6", 4514067.6)</f>
        <v>4514067.5999999996</v>
      </c>
      <c r="L10" s="27">
        <f>HYPERLINK("[N&amp;P New retention.xlsx]'National Results By Measure'!E6", 22570.338)</f>
        <v>22570.338</v>
      </c>
      <c r="M10" s="26">
        <f>HYPERLINK("[N&amp;P with New retention and Differentiation.xlsx]'National Results By Measure'!B6", 4519406.88)</f>
        <v>4519406.88</v>
      </c>
      <c r="N10" s="27">
        <f>HYPERLINK("[N&amp;P with New retention and Differentiation.xlsx]'National Results By Measure'!E6", 22597.0344)</f>
        <v>22597.0344</v>
      </c>
      <c r="O10" s="18"/>
      <c r="P10" s="18"/>
      <c r="Q10" s="18"/>
      <c r="R10" s="18"/>
      <c r="S10" s="18"/>
      <c r="T10" s="18"/>
    </row>
    <row r="11" spans="1:20" x14ac:dyDescent="0.55000000000000004">
      <c r="A11" s="3" t="s">
        <v>25</v>
      </c>
      <c r="B11" s="5" t="s">
        <v>12</v>
      </c>
      <c r="C11" s="28">
        <f>HYPERLINK("[N Only Old retention.xlsx]'National Results By Measure'!B7", 2255954.91199932)</f>
        <v>2255954.9119993201</v>
      </c>
      <c r="D11" s="29">
        <f>HYPERLINK("[N Only Old retention.xlsx]'National Results By Measure'!E7", 50695.6159999847)</f>
        <v>50695.6159999847</v>
      </c>
      <c r="E11" s="28">
        <f>HYPERLINK("[N Only New retention.xlsx]'National Results By Measure'!B7", 2284638.45499961)</f>
        <v>2284638.4549996099</v>
      </c>
      <c r="F11" s="29">
        <f>HYPERLINK("[N Only New retention.xlsx]'National Results By Measure'!E7", 51340.1899999911)</f>
        <v>51340.189999991097</v>
      </c>
      <c r="G11" s="28">
        <f>HYPERLINK("[N Only with New retention and Differentiation.xlsx]'National Results By Measure'!B7", 2275803.69199975)</f>
        <v>2275803.6919997502</v>
      </c>
      <c r="H11" s="29">
        <f>HYPERLINK("[N Only with New retention and Differentiation.xlsx]'National Results By Measure'!E7", 51141.6559999944)</f>
        <v>51141.6559999944</v>
      </c>
      <c r="I11" s="28">
        <f>HYPERLINK("[N&amp;P Old retention.xlsx]'National Results By Measure'!B7", 2088327.684)</f>
        <v>2088327.6839999999</v>
      </c>
      <c r="J11" s="29">
        <f>HYPERLINK("[N&amp;P Old retention.xlsx]'National Results By Measure'!E7", 46928.712)</f>
        <v>46928.712</v>
      </c>
      <c r="K11" s="28">
        <f>HYPERLINK("[N&amp;P New retention.xlsx]'National Results By Measure'!B7", 2075824.69699989)</f>
        <v>2075824.69699989</v>
      </c>
      <c r="L11" s="29">
        <f>HYPERLINK("[N&amp;P New retention.xlsx]'National Results By Measure'!E7", 46647.7459999976)</f>
        <v>46647.745999997598</v>
      </c>
      <c r="M11" s="28">
        <f>HYPERLINK("[N&amp;P with New retention and Differentiation.xlsx]'National Results By Measure'!B7", 2060683.038)</f>
        <v>2060683.0379999999</v>
      </c>
      <c r="N11" s="29">
        <f>HYPERLINK("[N&amp;P with New retention and Differentiation.xlsx]'National Results By Measure'!E7", 46307.484)</f>
        <v>46307.483999999997</v>
      </c>
      <c r="O11" s="13"/>
      <c r="P11" s="13"/>
      <c r="Q11" s="13"/>
      <c r="R11" s="13"/>
      <c r="S11" s="13"/>
      <c r="T11" s="13"/>
    </row>
    <row r="12" spans="1:20" x14ac:dyDescent="0.55000000000000004">
      <c r="A12" s="2" t="s">
        <v>27</v>
      </c>
      <c r="B12" s="6" t="s">
        <v>12</v>
      </c>
      <c r="C12" s="26">
        <f>HYPERLINK("[N Only Old retention.xlsx]'National Results By Measure'!B8", 1549259.31199993)</f>
        <v>1549259.3119999301</v>
      </c>
      <c r="D12" s="27">
        <f>HYPERLINK("[N Only Old retention.xlsx]'National Results By Measure'!E8", 8703.70399999959)</f>
        <v>8703.7039999995905</v>
      </c>
      <c r="E12" s="26">
        <f>HYPERLINK("[N Only New retention.xlsx]'National Results By Measure'!B8", 1630158.176)</f>
        <v>1630158.176</v>
      </c>
      <c r="F12" s="27">
        <f>HYPERLINK("[N Only New retention.xlsx]'National Results By Measure'!E8", 9158.192)</f>
        <v>9158.1919999999991</v>
      </c>
      <c r="G12" s="26">
        <f>HYPERLINK("[N Only with New retention and Differentiation.xlsx]'National Results By Measure'!B8", 1636911.852)</f>
        <v>1636911.852</v>
      </c>
      <c r="H12" s="27">
        <f>HYPERLINK("[N Only with New retention and Differentiation.xlsx]'National Results By Measure'!E8", 9196.134)</f>
        <v>9196.134</v>
      </c>
      <c r="I12" s="26">
        <f>HYPERLINK("[N&amp;P Old retention.xlsx]'National Results By Measure'!B8", 1584295.764)</f>
        <v>1584295.764</v>
      </c>
      <c r="J12" s="27">
        <f>HYPERLINK("[N&amp;P Old retention.xlsx]'National Results By Measure'!E8", 8900.538)</f>
        <v>8900.5380000000005</v>
      </c>
      <c r="K12" s="26">
        <f>HYPERLINK("[N&amp;P New retention.xlsx]'National Results By Measure'!B8", 1587256.972)</f>
        <v>1587256.9720000001</v>
      </c>
      <c r="L12" s="27">
        <f>HYPERLINK("[N&amp;P New retention.xlsx]'National Results By Measure'!E8", 8917.174)</f>
        <v>8917.1740000000009</v>
      </c>
      <c r="M12" s="26">
        <f>HYPERLINK("[N&amp;P with New retention and Differentiation.xlsx]'National Results By Measure'!B8", 1592957.244)</f>
        <v>1592957.2439999999</v>
      </c>
      <c r="N12" s="27">
        <f>HYPERLINK("[N&amp;P with New retention and Differentiation.xlsx]'National Results By Measure'!E8", 8949.198)</f>
        <v>8949.1980000000003</v>
      </c>
      <c r="O12" s="18"/>
      <c r="P12" s="18"/>
      <c r="Q12" s="18"/>
      <c r="R12" s="18"/>
      <c r="S12" s="18"/>
      <c r="T12" s="18"/>
    </row>
    <row r="13" spans="1:20" x14ac:dyDescent="0.55000000000000004">
      <c r="A13" s="3" t="s">
        <v>29</v>
      </c>
      <c r="B13" s="5" t="s">
        <v>12</v>
      </c>
      <c r="C13" s="28">
        <f>HYPERLINK("[N Only Old retention.xlsx]'National Results By Measure'!B9", 71303.6133354906)</f>
        <v>71303.613335490605</v>
      </c>
      <c r="D13" s="29">
        <f>HYPERLINK("[N Only Old retention.xlsx]'National Results By Measure'!E9", 31.13)</f>
        <v>31.13</v>
      </c>
      <c r="E13" s="28">
        <f>HYPERLINK("[N Only New retention.xlsx]'National Results By Measure'!B9", 58482.6650315675)</f>
        <v>58482.6650315675</v>
      </c>
      <c r="F13" s="29">
        <f>HYPERLINK("[N Only New retention.xlsx]'National Results By Measure'!E9", 23.69)</f>
        <v>23.69</v>
      </c>
      <c r="G13" s="28">
        <f>HYPERLINK("[N Only with New retention and Differentiation.xlsx]'National Results By Measure'!B9", 325725.305769893)</f>
        <v>325725.30576989299</v>
      </c>
      <c r="H13" s="29">
        <f>HYPERLINK("[N Only with New retention and Differentiation.xlsx]'National Results By Measure'!E9", 214.858)</f>
        <v>214.858</v>
      </c>
      <c r="I13" s="28">
        <f>HYPERLINK("[N&amp;P Old retention.xlsx]'National Results By Measure'!B9", 79049.433732299)</f>
        <v>79049.433732299003</v>
      </c>
      <c r="J13" s="29">
        <f>HYPERLINK("[N&amp;P Old retention.xlsx]'National Results By Measure'!E9", 33.822)</f>
        <v>33.822000000000003</v>
      </c>
      <c r="K13" s="28">
        <f>HYPERLINK("[N&amp;P New retention.xlsx]'National Results By Measure'!B9", 58482.6650315675)</f>
        <v>58482.6650315675</v>
      </c>
      <c r="L13" s="29">
        <f>HYPERLINK("[N&amp;P New retention.xlsx]'National Results By Measure'!E9", 23.69)</f>
        <v>23.69</v>
      </c>
      <c r="M13" s="28">
        <f>HYPERLINK("[N&amp;P with New retention and Differentiation.xlsx]'National Results By Measure'!B9", 352612.248536803)</f>
        <v>352612.248536803</v>
      </c>
      <c r="N13" s="29">
        <f>HYPERLINK("[N&amp;P with New retention and Differentiation.xlsx]'National Results By Measure'!E9", 224.598)</f>
        <v>224.59800000000001</v>
      </c>
      <c r="O13" s="13"/>
      <c r="P13" s="13"/>
      <c r="Q13" s="13"/>
      <c r="R13" s="13"/>
      <c r="S13" s="13"/>
      <c r="T13" s="13"/>
    </row>
    <row r="14" spans="1:20" x14ac:dyDescent="0.55000000000000004">
      <c r="A14" s="2" t="s">
        <v>32</v>
      </c>
      <c r="B14" s="6" t="s">
        <v>34</v>
      </c>
      <c r="C14" s="26">
        <f>HYPERLINK("[N Only Old retention.xlsx]'National Results By Measure'!B10", 135093063.811639)</f>
        <v>135093063.81163901</v>
      </c>
      <c r="D14" s="27">
        <f>HYPERLINK("[N Only Old retention.xlsx]'National Results By Measure'!E10", 156734.388685317)</f>
        <v>156734.38868531701</v>
      </c>
      <c r="E14" s="26">
        <f>HYPERLINK("[N Only New retention.xlsx]'National Results By Measure'!B10", 135266634.149302)</f>
        <v>135266634.14930201</v>
      </c>
      <c r="F14" s="27">
        <f>HYPERLINK("[N Only New retention.xlsx]'National Results By Measure'!E10", 154502.657619841)</f>
        <v>154502.65761984099</v>
      </c>
      <c r="G14" s="26">
        <f>HYPERLINK("[N Only with New retention and Differentiation.xlsx]'National Results By Measure'!B10", 139403268.490073)</f>
        <v>139403268.490073</v>
      </c>
      <c r="H14" s="27">
        <f>HYPERLINK("[N Only with New retention and Differentiation.xlsx]'National Results By Measure'!E10", 154740.555523586)</f>
        <v>154740.55552358599</v>
      </c>
      <c r="I14" s="26">
        <f>HYPERLINK("[N&amp;P Old retention.xlsx]'National Results By Measure'!B10", 221889907.519933)</f>
        <v>221889907.51993299</v>
      </c>
      <c r="J14" s="27">
        <f>HYPERLINK("[N&amp;P Old retention.xlsx]'National Results By Measure'!E10", 181684.652267346)</f>
        <v>181684.65226734601</v>
      </c>
      <c r="K14" s="26">
        <f>HYPERLINK("[N&amp;P New retention.xlsx]'National Results By Measure'!B10", 230683666.845719)</f>
        <v>230683666.84571901</v>
      </c>
      <c r="L14" s="27">
        <f>HYPERLINK("[N&amp;P New retention.xlsx]'National Results By Measure'!E10", 181970.101754257)</f>
        <v>181970.10175425699</v>
      </c>
      <c r="M14" s="26">
        <f>HYPERLINK("[N&amp;P with New retention and Differentiation.xlsx]'National Results By Measure'!B10", 218574390.812298)</f>
        <v>218574390.812298</v>
      </c>
      <c r="N14" s="27">
        <f>HYPERLINK("[N&amp;P with New retention and Differentiation.xlsx]'National Results By Measure'!E10", 176391.779105608)</f>
        <v>176391.779105608</v>
      </c>
      <c r="O14" s="26">
        <f>HYPERLINK("[P Only Old retention.xlsx]'National Results By Measure'!B10", 75723328.31406)</f>
        <v>75723328.314060003</v>
      </c>
      <c r="P14" s="27">
        <f>HYPERLINK("[P Only Old retention.xlsx]'National Results By Measure'!E10", 36253.3698512522)</f>
        <v>36253.369851252202</v>
      </c>
      <c r="Q14" s="26">
        <f>HYPERLINK("[P Only New retention.xlsx]'National Results By Measure'!B10", 75648897.9908224)</f>
        <v>75648897.990822405</v>
      </c>
      <c r="R14" s="27">
        <f>HYPERLINK("[P Only New retention.xlsx]'National Results By Measure'!E10", 36235.6698512522)</f>
        <v>36235.669851252198</v>
      </c>
      <c r="S14" s="26">
        <f>HYPERLINK("[P Only with New retention and Differentiation.xlsx]'National Results By Measure'!B10", 75346053.9392873)</f>
        <v>75346053.939287305</v>
      </c>
      <c r="T14" s="27">
        <f>HYPERLINK("[P Only with New retention and Differentiation.xlsx]'National Results By Measure'!E10", 36167.1398512522)</f>
        <v>36167.139851252199</v>
      </c>
    </row>
    <row r="15" spans="1:20" x14ac:dyDescent="0.55000000000000004">
      <c r="A15" s="3" t="s">
        <v>36</v>
      </c>
      <c r="B15" s="5" t="s">
        <v>34</v>
      </c>
      <c r="C15" s="28">
        <f>HYPERLINK("[N Only Old retention.xlsx]'National Results By Measure'!B11", 4023207.48641949)</f>
        <v>4023207.4864194901</v>
      </c>
      <c r="D15" s="29">
        <f>HYPERLINK("[N Only Old retention.xlsx]'National Results By Measure'!E11", 1641.43882492245)</f>
        <v>1641.4388249224501</v>
      </c>
      <c r="E15" s="28">
        <f>HYPERLINK("[N Only New retention.xlsx]'National Results By Measure'!B11", 5743251.17484782)</f>
        <v>5743251.1748478198</v>
      </c>
      <c r="F15" s="29">
        <f>HYPERLINK("[N Only New retention.xlsx]'National Results By Measure'!E11", 2070.02119799378)</f>
        <v>2070.0211979937799</v>
      </c>
      <c r="G15" s="28">
        <f>HYPERLINK("[N Only with New retention and Differentiation.xlsx]'National Results By Measure'!B11", 5222182.56948187)</f>
        <v>5222182.5694818702</v>
      </c>
      <c r="H15" s="29">
        <f>HYPERLINK("[N Only with New retention and Differentiation.xlsx]'National Results By Measure'!E11", 1874.28425692985)</f>
        <v>1874.28425692985</v>
      </c>
      <c r="I15" s="28">
        <f>HYPERLINK("[N&amp;P Old retention.xlsx]'National Results By Measure'!B11", 3607989.36723034)</f>
        <v>3607989.3672303399</v>
      </c>
      <c r="J15" s="29">
        <f>HYPERLINK("[N&amp;P Old retention.xlsx]'National Results By Measure'!E11", 1508.3148249226)</f>
        <v>1508.3148249226001</v>
      </c>
      <c r="K15" s="28">
        <f>HYPERLINK("[N&amp;P New retention.xlsx]'National Results By Measure'!B11", 5219822.37225693)</f>
        <v>5219822.37225693</v>
      </c>
      <c r="L15" s="29">
        <f>HYPERLINK("[N&amp;P New retention.xlsx]'National Results By Measure'!E11", 1905.54319799396)</f>
        <v>1905.5431979939599</v>
      </c>
      <c r="M15" s="28">
        <f>HYPERLINK("[N&amp;P with New retention and Differentiation.xlsx]'National Results By Measure'!B11", 4742514.36649827)</f>
        <v>4742514.3664982701</v>
      </c>
      <c r="N15" s="29">
        <f>HYPERLINK("[N&amp;P with New retention and Differentiation.xlsx]'National Results By Measure'!E11", 1727.38970453739)</f>
        <v>1727.3897045373899</v>
      </c>
      <c r="O15" s="13"/>
      <c r="P15" s="13"/>
      <c r="Q15" s="13"/>
      <c r="R15" s="13"/>
      <c r="S15" s="13"/>
      <c r="T15" s="13"/>
    </row>
    <row r="16" spans="1:20" x14ac:dyDescent="0.55000000000000004">
      <c r="A16" s="2" t="s">
        <v>40</v>
      </c>
      <c r="B16" s="6" t="s">
        <v>34</v>
      </c>
      <c r="C16" s="26">
        <f>HYPERLINK("[N Only Old retention.xlsx]'National Results By Measure'!B12", 57277335.6433615)</f>
        <v>57277335.643361501</v>
      </c>
      <c r="D16" s="27">
        <f>HYPERLINK("[N Only Old retention.xlsx]'National Results By Measure'!E12", 78738.4147866364)</f>
        <v>78738.414786636393</v>
      </c>
      <c r="E16" s="26">
        <f>HYPERLINK("[N Only New retention.xlsx]'National Results By Measure'!B12", 55803893.7366976)</f>
        <v>55803893.736697599</v>
      </c>
      <c r="F16" s="27">
        <f>HYPERLINK("[N Only New retention.xlsx]'National Results By Measure'!E12", 78509.0858889061)</f>
        <v>78509.085888906106</v>
      </c>
      <c r="G16" s="26">
        <f>HYPERLINK("[N Only with New retention and Differentiation.xlsx]'National Results By Measure'!B12", 53069172.7374035)</f>
        <v>53069172.737403497</v>
      </c>
      <c r="H16" s="27">
        <f>HYPERLINK("[N Only with New retention and Differentiation.xlsx]'National Results By Measure'!E12", 78073.7934786204)</f>
        <v>78073.793478620399</v>
      </c>
      <c r="I16" s="26">
        <f>HYPERLINK("[N&amp;P Old retention.xlsx]'National Results By Measure'!B12", 139378095.821183)</f>
        <v>139378095.821183</v>
      </c>
      <c r="J16" s="27">
        <f>HYPERLINK("[N&amp;P Old retention.xlsx]'National Results By Measure'!E12", 111211.880190759)</f>
        <v>111211.880190759</v>
      </c>
      <c r="K16" s="26">
        <f>HYPERLINK("[N&amp;P New retention.xlsx]'National Results By Measure'!B12", 130268003.911212)</f>
        <v>130268003.911212</v>
      </c>
      <c r="L16" s="27">
        <f>HYPERLINK("[N&amp;P New retention.xlsx]'National Results By Measure'!E12", 108401.570818247)</f>
        <v>108401.570818247</v>
      </c>
      <c r="M16" s="26">
        <f>HYPERLINK("[N&amp;P with New retention and Differentiation.xlsx]'National Results By Measure'!B12", 143726868.993248)</f>
        <v>143726868.99324799</v>
      </c>
      <c r="N16" s="27">
        <f>HYPERLINK("[N&amp;P with New retention and Differentiation.xlsx]'National Results By Measure'!E12", 113559.214960353)</f>
        <v>113559.214960353</v>
      </c>
      <c r="O16" s="26">
        <f>HYPERLINK("[P Only Old retention.xlsx]'National Results By Measure'!B12", 111060724.634645)</f>
        <v>111060724.634645</v>
      </c>
      <c r="P16" s="27">
        <f>HYPERLINK("[P Only Old retention.xlsx]'National Results By Measure'!E12", 46563.4314221371)</f>
        <v>46563.431422137102</v>
      </c>
      <c r="Q16" s="26">
        <f>HYPERLINK("[P Only New retention.xlsx]'National Results By Measure'!B12", 111017983.080242)</f>
        <v>111017983.08024199</v>
      </c>
      <c r="R16" s="27">
        <f>HYPERLINK("[P Only New retention.xlsx]'National Results By Measure'!E12", 46544.6554221371)</f>
        <v>46544.655422137097</v>
      </c>
      <c r="S16" s="26">
        <f>HYPERLINK("[P Only with New retention and Differentiation.xlsx]'National Results By Measure'!B12", 110945164.681452)</f>
        <v>110945164.68145201</v>
      </c>
      <c r="T16" s="27">
        <f>HYPERLINK("[P Only with New retention and Differentiation.xlsx]'National Results By Measure'!E12", 46521.6254221371)</f>
        <v>46521.625422137098</v>
      </c>
    </row>
    <row r="17" spans="1:20" x14ac:dyDescent="0.55000000000000004">
      <c r="A17" s="3" t="s">
        <v>42</v>
      </c>
      <c r="B17" s="5" t="s">
        <v>34</v>
      </c>
      <c r="C17" s="28">
        <f>HYPERLINK("[N Only Old retention.xlsx]'National Results By Measure'!B13", 6029.51729017754)</f>
        <v>6029.5172901775404</v>
      </c>
      <c r="D17" s="29">
        <f>HYPERLINK("[N Only Old retention.xlsx]'National Results By Measure'!E13", 3.34)</f>
        <v>3.34</v>
      </c>
      <c r="E17" s="28">
        <f>HYPERLINK("[N Only New retention.xlsx]'National Results By Measure'!B13", 12968.2844935458)</f>
        <v>12968.2844935458</v>
      </c>
      <c r="F17" s="29">
        <f>HYPERLINK("[N Only New retention.xlsx]'National Results By Measure'!E13", 7.516)</f>
        <v>7.516</v>
      </c>
      <c r="G17" s="28">
        <f>HYPERLINK("[N Only with New retention and Differentiation.xlsx]'National Results By Measure'!B13", 2735.08264532993)</f>
        <v>2735.0826453299301</v>
      </c>
      <c r="H17" s="29">
        <f>HYPERLINK("[N Only with New retention and Differentiation.xlsx]'National Results By Measure'!E13", 2.324)</f>
        <v>2.3239999999999998</v>
      </c>
      <c r="I17" s="28">
        <f>HYPERLINK("[N&amp;P Old retention.xlsx]'National Results By Measure'!B13", 15107.4242069463)</f>
        <v>15107.4242069463</v>
      </c>
      <c r="J17" s="29">
        <f>HYPERLINK("[N&amp;P Old retention.xlsx]'National Results By Measure'!E13", 8.944)</f>
        <v>8.9440000000000008</v>
      </c>
      <c r="K17" s="28">
        <f>HYPERLINK("[N&amp;P New retention.xlsx]'National Results By Measure'!B13", 16039.3237124146)</f>
        <v>16039.3237124146</v>
      </c>
      <c r="L17" s="29">
        <f>HYPERLINK("[N&amp;P New retention.xlsx]'National Results By Measure'!E13", 9.728)</f>
        <v>9.7279999999999998</v>
      </c>
      <c r="M17" s="28">
        <f>HYPERLINK("[N&amp;P with New retention and Differentiation.xlsx]'National Results By Measure'!B13", 22411.0578404578)</f>
        <v>22411.057840457801</v>
      </c>
      <c r="N17" s="29">
        <f>HYPERLINK("[N&amp;P with New retention and Differentiation.xlsx]'National Results By Measure'!E13", 10.64)</f>
        <v>10.64</v>
      </c>
      <c r="O17" s="28">
        <f>HYPERLINK("[P Only Old retention.xlsx]'National Results By Measure'!B13", 11)</f>
        <v>11</v>
      </c>
      <c r="P17" s="13"/>
      <c r="Q17" s="28">
        <f>HYPERLINK("[P Only New retention.xlsx]'National Results By Measure'!B13", 11.4431551303262)</f>
        <v>11.4431551303262</v>
      </c>
      <c r="R17" s="29">
        <f>HYPERLINK("[P Only New retention.xlsx]'National Results By Measure'!E13", 0.004)</f>
        <v>4.0000000000000001E-3</v>
      </c>
      <c r="S17" s="13"/>
      <c r="T17" s="13"/>
    </row>
    <row r="18" spans="1:20" x14ac:dyDescent="0.55000000000000004">
      <c r="A18" s="2" t="s">
        <v>46</v>
      </c>
      <c r="B18" s="6" t="s">
        <v>34</v>
      </c>
      <c r="C18" s="26">
        <f>HYPERLINK("[N Only Old retention.xlsx]'National Results By Measure'!B14", 21105597.3327564)</f>
        <v>21105597.3327564</v>
      </c>
      <c r="D18" s="27">
        <f>HYPERLINK("[N Only Old retention.xlsx]'National Results By Measure'!E14", 16294.8147083681)</f>
        <v>16294.8147083681</v>
      </c>
      <c r="E18" s="26">
        <f>HYPERLINK("[N Only New retention.xlsx]'National Results By Measure'!B14", 20734801.225862)</f>
        <v>20734801.225862</v>
      </c>
      <c r="F18" s="27">
        <f>HYPERLINK("[N Only New retention.xlsx]'National Results By Measure'!E14", 15504.3337440283)</f>
        <v>15504.333744028299</v>
      </c>
      <c r="G18" s="26">
        <f>HYPERLINK("[N Only with New retention and Differentiation.xlsx]'National Results By Measure'!B14", 21066920.6037236)</f>
        <v>21066920.603723601</v>
      </c>
      <c r="H18" s="27">
        <f>HYPERLINK("[N Only with New retention and Differentiation.xlsx]'National Results By Measure'!E14", 15731.2397440284)</f>
        <v>15731.2397440284</v>
      </c>
      <c r="I18" s="26">
        <f>HYPERLINK("[N&amp;P Old retention.xlsx]'National Results By Measure'!B14", 20020357.8282164)</f>
        <v>20020357.8282164</v>
      </c>
      <c r="J18" s="27">
        <f>HYPERLINK("[N&amp;P Old retention.xlsx]'National Results By Measure'!E14", 15499.4964262559)</f>
        <v>15499.496426255901</v>
      </c>
      <c r="K18" s="26">
        <f>HYPERLINK("[N&amp;P New retention.xlsx]'National Results By Measure'!B14", 19246851.0191254)</f>
        <v>19246851.019125398</v>
      </c>
      <c r="L18" s="27">
        <f>HYPERLINK("[N&amp;P New retention.xlsx]'National Results By Measure'!E14", 14279.6765406623)</f>
        <v>14279.6765406623</v>
      </c>
      <c r="M18" s="26">
        <f>HYPERLINK("[N&amp;P with New retention and Differentiation.xlsx]'National Results By Measure'!B14", 19509074.8306015)</f>
        <v>19509074.830601498</v>
      </c>
      <c r="N18" s="27">
        <f>HYPERLINK("[N&amp;P with New retention and Differentiation.xlsx]'National Results By Measure'!E14", 14473.2204266094)</f>
        <v>14473.2204266094</v>
      </c>
      <c r="O18" s="26">
        <f>HYPERLINK("[P Only Old retention.xlsx]'National Results By Measure'!B14", 1291.38131207497)</f>
        <v>1291.3813120749701</v>
      </c>
      <c r="P18" s="27">
        <f>HYPERLINK("[P Only Old retention.xlsx]'National Results By Measure'!E14", 2.834)</f>
        <v>2.8340000000000001</v>
      </c>
      <c r="Q18" s="26">
        <f>HYPERLINK("[P Only New retention.xlsx]'National Results By Measure'!B14", 1208.8221129808)</f>
        <v>1208.8221129808001</v>
      </c>
      <c r="R18" s="27">
        <f>HYPERLINK("[P Only New retention.xlsx]'National Results By Measure'!E14", 2.838)</f>
        <v>2.8380000000000001</v>
      </c>
      <c r="S18" s="26">
        <f>HYPERLINK("[P Only with New retention and Differentiation.xlsx]'National Results By Measure'!B14", 1208.8221129808)</f>
        <v>1208.8221129808001</v>
      </c>
      <c r="T18" s="27">
        <f>HYPERLINK("[P Only with New retention and Differentiation.xlsx]'National Results By Measure'!E14", 2.838)</f>
        <v>2.8380000000000001</v>
      </c>
    </row>
    <row r="19" spans="1:20" x14ac:dyDescent="0.55000000000000004">
      <c r="A19" s="3" t="s">
        <v>48</v>
      </c>
      <c r="B19" s="5" t="s">
        <v>34</v>
      </c>
      <c r="C19" s="28">
        <f>HYPERLINK("[N Only Old retention.xlsx]'National Results By Measure'!B15", 124815031.949396)</f>
        <v>124815031.949396</v>
      </c>
      <c r="D19" s="29">
        <f>HYPERLINK("[N Only Old retention.xlsx]'National Results By Measure'!E15", 21229.2596057358)</f>
        <v>21229.259605735799</v>
      </c>
      <c r="E19" s="28">
        <f>HYPERLINK("[N Only New retention.xlsx]'National Results By Measure'!B15", 98578164.8295021)</f>
        <v>98578164.829502106</v>
      </c>
      <c r="F19" s="29">
        <f>HYPERLINK("[N Only New retention.xlsx]'National Results By Measure'!E15", 16574.6939051046)</f>
        <v>16574.693905104599</v>
      </c>
      <c r="G19" s="28">
        <f>HYPERLINK("[N Only with New retention and Differentiation.xlsx]'National Results By Measure'!B15", 100140645.891827)</f>
        <v>100140645.891827</v>
      </c>
      <c r="H19" s="29">
        <f>HYPERLINK("[N Only with New retention and Differentiation.xlsx]'National Results By Measure'!E15", 16828.257907436)</f>
        <v>16828.257907436</v>
      </c>
      <c r="I19" s="28">
        <f>HYPERLINK("[N&amp;P Old retention.xlsx]'National Results By Measure'!B15", 120382088.974293)</f>
        <v>120382088.97429299</v>
      </c>
      <c r="J19" s="29">
        <f>HYPERLINK("[N&amp;P Old retention.xlsx]'National Results By Measure'!E15", 20459.1190482453)</f>
        <v>20459.119048245298</v>
      </c>
      <c r="K19" s="28">
        <f>HYPERLINK("[N&amp;P New retention.xlsx]'National Results By Measure'!B15", 92862096.2302874)</f>
        <v>92862096.230287403</v>
      </c>
      <c r="L19" s="29">
        <f>HYPERLINK("[N&amp;P New retention.xlsx]'National Results By Measure'!E15", 15585.4118724688)</f>
        <v>15585.4118724688</v>
      </c>
      <c r="M19" s="28">
        <f>HYPERLINK("[N&amp;P with New retention and Differentiation.xlsx]'National Results By Measure'!B15", 94620809.6505512)</f>
        <v>94620809.6505512</v>
      </c>
      <c r="N19" s="29">
        <f>HYPERLINK("[N&amp;P with New retention and Differentiation.xlsx]'National Results By Measure'!E15", 15873.6398724688)</f>
        <v>15873.639872468801</v>
      </c>
      <c r="O19" s="13"/>
      <c r="P19" s="13"/>
      <c r="Q19" s="13"/>
      <c r="R19" s="13"/>
      <c r="S19" s="13"/>
      <c r="T19" s="13"/>
    </row>
    <row r="20" spans="1:20" x14ac:dyDescent="0.55000000000000004">
      <c r="A20" s="2" t="s">
        <v>51</v>
      </c>
      <c r="B20" s="6" t="s">
        <v>53</v>
      </c>
      <c r="C20" s="18"/>
      <c r="D20" s="18"/>
      <c r="E20" s="18"/>
      <c r="F20" s="18"/>
      <c r="G20" s="18"/>
      <c r="H20" s="18"/>
      <c r="I20" s="26">
        <f>HYPERLINK("[N&amp;P Old retention.xlsx]'National Results By Measure'!B16", 560390.570949354)</f>
        <v>560390.57094935398</v>
      </c>
      <c r="J20" s="27">
        <f>HYPERLINK("[N&amp;P Old retention.xlsx]'National Results By Measure'!E16", 2097.306)</f>
        <v>2097.306</v>
      </c>
      <c r="K20" s="26">
        <f>HYPERLINK("[N&amp;P New retention.xlsx]'National Results By Measure'!B16", 582710.88471761)</f>
        <v>582710.88471760997</v>
      </c>
      <c r="L20" s="27">
        <f>HYPERLINK("[N&amp;P New retention.xlsx]'National Results By Measure'!E16", 2149.892)</f>
        <v>2149.8919999999998</v>
      </c>
      <c r="M20" s="26">
        <f>HYPERLINK("[N&amp;P with New retention and Differentiation.xlsx]'National Results By Measure'!B16", 582891.270562793)</f>
        <v>582891.27056279301</v>
      </c>
      <c r="N20" s="27">
        <f>HYPERLINK("[N&amp;P with New retention and Differentiation.xlsx]'National Results By Measure'!E16", 2144.78199993456)</f>
        <v>2144.7819999345602</v>
      </c>
      <c r="O20" s="26">
        <f>HYPERLINK("[P Only Old retention.xlsx]'National Results By Measure'!B16", 745830.173905143)</f>
        <v>745830.17390514305</v>
      </c>
      <c r="P20" s="27">
        <f>HYPERLINK("[P Only Old retention.xlsx]'National Results By Measure'!E16", 2830.40999999783)</f>
        <v>2830.4099999978298</v>
      </c>
      <c r="Q20" s="26">
        <f>HYPERLINK("[P Only New retention.xlsx]'National Results By Measure'!B16", 757434.992416114)</f>
        <v>757434.99241611396</v>
      </c>
      <c r="R20" s="27">
        <f>HYPERLINK("[P Only New retention.xlsx]'National Results By Measure'!E16", 2859.846)</f>
        <v>2859.846</v>
      </c>
      <c r="S20" s="26">
        <f>HYPERLINK("[P Only with New retention and Differentiation.xlsx]'National Results By Measure'!B16", 755879.800126018)</f>
        <v>755879.800126018</v>
      </c>
      <c r="T20" s="27">
        <f>HYPERLINK("[P Only with New retention and Differentiation.xlsx]'National Results By Measure'!E16", 2852.142)</f>
        <v>2852.1419999999998</v>
      </c>
    </row>
    <row r="21" spans="1:20" x14ac:dyDescent="0.55000000000000004">
      <c r="A21" s="3" t="s">
        <v>56</v>
      </c>
      <c r="B21" s="5" t="s">
        <v>53</v>
      </c>
      <c r="C21" s="13"/>
      <c r="D21" s="13"/>
      <c r="E21" s="13"/>
      <c r="F21" s="13"/>
      <c r="G21" s="13"/>
      <c r="H21" s="13"/>
      <c r="I21" s="28">
        <f>HYPERLINK("[N&amp;P Old retention.xlsx]'National Results By Measure'!B17", 2606.5)</f>
        <v>2606.5</v>
      </c>
      <c r="J21" s="29">
        <f>HYPERLINK("[N&amp;P Old retention.xlsx]'National Results By Measure'!E17", 52.13)</f>
        <v>52.13</v>
      </c>
      <c r="K21" s="28">
        <f>HYPERLINK("[N&amp;P New retention.xlsx]'National Results By Measure'!B17", 145.3)</f>
        <v>145.30000000000001</v>
      </c>
      <c r="L21" s="29">
        <f>HYPERLINK("[N&amp;P New retention.xlsx]'National Results By Measure'!E17", 2.906)</f>
        <v>2.9060000000000001</v>
      </c>
      <c r="M21" s="28">
        <f>HYPERLINK("[N&amp;P with New retention and Differentiation.xlsx]'National Results By Measure'!B17", 740.6)</f>
        <v>740.6</v>
      </c>
      <c r="N21" s="29">
        <f>HYPERLINK("[N&amp;P with New retention and Differentiation.xlsx]'National Results By Measure'!E17", 14.812)</f>
        <v>14.811999999999999</v>
      </c>
      <c r="O21" s="28">
        <f>HYPERLINK("[P Only Old retention.xlsx]'National Results By Measure'!B17", 1398.4)</f>
        <v>1398.4</v>
      </c>
      <c r="P21" s="29">
        <f>HYPERLINK("[P Only Old retention.xlsx]'National Results By Measure'!E17", 27.968)</f>
        <v>27.968</v>
      </c>
      <c r="Q21" s="28">
        <f>HYPERLINK("[P Only New retention.xlsx]'National Results By Measure'!B17", 163.5)</f>
        <v>163.5</v>
      </c>
      <c r="R21" s="29">
        <f>HYPERLINK("[P Only New retention.xlsx]'National Results By Measure'!E17", 3.27)</f>
        <v>3.27</v>
      </c>
      <c r="S21" s="28">
        <f>HYPERLINK("[P Only with New retention and Differentiation.xlsx]'National Results By Measure'!B17", 163.5)</f>
        <v>163.5</v>
      </c>
      <c r="T21" s="29">
        <f>HYPERLINK("[P Only with New retention and Differentiation.xlsx]'National Results By Measure'!E17", 3.27)</f>
        <v>3.27</v>
      </c>
    </row>
    <row r="22" spans="1:20" x14ac:dyDescent="0.55000000000000004">
      <c r="A22" s="2" t="s">
        <v>58</v>
      </c>
      <c r="B22" s="6" t="s">
        <v>53</v>
      </c>
      <c r="C22" s="18"/>
      <c r="D22" s="18"/>
      <c r="E22" s="18"/>
      <c r="F22" s="18"/>
      <c r="G22" s="18"/>
      <c r="H22" s="18"/>
      <c r="I22" s="26">
        <f>HYPERLINK("[N&amp;P Old retention.xlsx]'National Results By Measure'!B18", 1826758.59998661)</f>
        <v>1826758.59998661</v>
      </c>
      <c r="J22" s="27">
        <f>HYPERLINK("[N&amp;P Old retention.xlsx]'National Results By Measure'!E18", 18267.5859998661)</f>
        <v>18267.5859998661</v>
      </c>
      <c r="K22" s="26">
        <f>HYPERLINK("[N&amp;P New retention.xlsx]'National Results By Measure'!B18", 1835486.2)</f>
        <v>1835486.2</v>
      </c>
      <c r="L22" s="27">
        <f>HYPERLINK("[N&amp;P New retention.xlsx]'National Results By Measure'!E18", 18354.862)</f>
        <v>18354.862000000001</v>
      </c>
      <c r="M22" s="26">
        <f>HYPERLINK("[N&amp;P with New retention and Differentiation.xlsx]'National Results By Measure'!B18", 1802061.40000479)</f>
        <v>1802061.4000047899</v>
      </c>
      <c r="N22" s="27">
        <f>HYPERLINK("[N&amp;P with New retention and Differentiation.xlsx]'National Results By Measure'!E18", 18020.6140000479)</f>
        <v>18020.614000047899</v>
      </c>
      <c r="O22" s="26">
        <f>HYPERLINK("[P Only Old retention.xlsx]'National Results By Measure'!B18", 2057841)</f>
        <v>2057841</v>
      </c>
      <c r="P22" s="27">
        <f>HYPERLINK("[P Only Old retention.xlsx]'National Results By Measure'!E18", 20578.41)</f>
        <v>20578.41</v>
      </c>
      <c r="Q22" s="26">
        <f>HYPERLINK("[P Only New retention.xlsx]'National Results By Measure'!B18", 2046583.6)</f>
        <v>2046583.6</v>
      </c>
      <c r="R22" s="27">
        <f>HYPERLINK("[P Only New retention.xlsx]'National Results By Measure'!E18", 20465.836)</f>
        <v>20465.835999999999</v>
      </c>
      <c r="S22" s="26">
        <f>HYPERLINK("[P Only with New retention and Differentiation.xlsx]'National Results By Measure'!B18", 2088308.8)</f>
        <v>2088308.8</v>
      </c>
      <c r="T22" s="27">
        <f>HYPERLINK("[P Only with New retention and Differentiation.xlsx]'National Results By Measure'!E18", 20883.088)</f>
        <v>20883.088</v>
      </c>
    </row>
    <row r="23" spans="1:20" x14ac:dyDescent="0.55000000000000004">
      <c r="A23" s="3" t="s">
        <v>60</v>
      </c>
      <c r="B23" s="5" t="s">
        <v>53</v>
      </c>
      <c r="C23" s="13"/>
      <c r="D23" s="13"/>
      <c r="E23" s="13"/>
      <c r="F23" s="13"/>
      <c r="G23" s="13"/>
      <c r="H23" s="13"/>
      <c r="I23" s="28">
        <f>HYPERLINK("[N&amp;P Old retention.xlsx]'National Results By Measure'!B19", 6296)</f>
        <v>6296</v>
      </c>
      <c r="J23" s="29">
        <f>HYPERLINK("[N&amp;P Old retention.xlsx]'National Results By Measure'!E19", 31.48)</f>
        <v>31.48</v>
      </c>
      <c r="K23" s="28">
        <f>HYPERLINK("[N&amp;P New retention.xlsx]'National Results By Measure'!B19", 5168)</f>
        <v>5168</v>
      </c>
      <c r="L23" s="29">
        <f>HYPERLINK("[N&amp;P New retention.xlsx]'National Results By Measure'!E19", 25.84)</f>
        <v>25.84</v>
      </c>
      <c r="M23" s="28">
        <f>HYPERLINK("[N&amp;P with New retention and Differentiation.xlsx]'National Results By Measure'!B19", 5704.4)</f>
        <v>5704.4</v>
      </c>
      <c r="N23" s="29">
        <f>HYPERLINK("[N&amp;P with New retention and Differentiation.xlsx]'National Results By Measure'!E19", 28.522)</f>
        <v>28.521999999999998</v>
      </c>
      <c r="O23" s="28">
        <f>HYPERLINK("[P Only Old retention.xlsx]'National Results By Measure'!B19", 11422.8)</f>
        <v>11422.8</v>
      </c>
      <c r="P23" s="29">
        <f>HYPERLINK("[P Only Old retention.xlsx]'National Results By Measure'!E19", 57.114)</f>
        <v>57.113999999999997</v>
      </c>
      <c r="Q23" s="28">
        <f>HYPERLINK("[P Only New retention.xlsx]'National Results By Measure'!B19", 7966.8)</f>
        <v>7966.8</v>
      </c>
      <c r="R23" s="29">
        <f>HYPERLINK("[P Only New retention.xlsx]'National Results By Measure'!E19", 39.834)</f>
        <v>39.834000000000003</v>
      </c>
      <c r="S23" s="28">
        <f>HYPERLINK("[P Only with New retention and Differentiation.xlsx]'National Results By Measure'!B19", 4286)</f>
        <v>4286</v>
      </c>
      <c r="T23" s="29">
        <f>HYPERLINK("[P Only with New retention and Differentiation.xlsx]'National Results By Measure'!E19", 21.43)</f>
        <v>21.43</v>
      </c>
    </row>
    <row r="24" spans="1:20" x14ac:dyDescent="0.55000000000000004">
      <c r="A24" s="2" t="s">
        <v>62</v>
      </c>
      <c r="B24" s="6" t="s">
        <v>53</v>
      </c>
      <c r="C24" s="18"/>
      <c r="D24" s="18"/>
      <c r="E24" s="18"/>
      <c r="F24" s="18"/>
      <c r="G24" s="18"/>
      <c r="H24" s="18"/>
      <c r="I24" s="26">
        <f>HYPERLINK("[N&amp;P Old retention.xlsx]'National Results By Measure'!B20", 12720267.1210377)</f>
        <v>12720267.121037699</v>
      </c>
      <c r="J24" s="27">
        <f>HYPERLINK("[N&amp;P Old retention.xlsx]'National Results By Measure'!E20", 1067.15556465426)</f>
        <v>1067.1555646542599</v>
      </c>
      <c r="K24" s="26">
        <f>HYPERLINK("[N&amp;P New retention.xlsx]'National Results By Measure'!B20", 12770843.8610821)</f>
        <v>12770843.861082099</v>
      </c>
      <c r="L24" s="27">
        <f>HYPERLINK("[N&amp;P New retention.xlsx]'National Results By Measure'!E20", 1069.79956465426)</f>
        <v>1069.7995646542599</v>
      </c>
      <c r="M24" s="26">
        <f>HYPERLINK("[N&amp;P with New retention and Differentiation.xlsx]'National Results By Measure'!B20", 12750481.0101714)</f>
        <v>12750481.0101714</v>
      </c>
      <c r="N24" s="27">
        <f>HYPERLINK("[N&amp;P with New retention and Differentiation.xlsx]'National Results By Measure'!E20", 1068.10156465426)</f>
        <v>1068.1015646542601</v>
      </c>
      <c r="O24" s="26">
        <f>HYPERLINK("[P Only Old retention.xlsx]'National Results By Measure'!B20", 12711189.5172851)</f>
        <v>12711189.517285099</v>
      </c>
      <c r="P24" s="27">
        <f>HYPERLINK("[P Only Old retention.xlsx]'National Results By Measure'!E20", 1082.01756465426)</f>
        <v>1082.01756465426</v>
      </c>
      <c r="Q24" s="26">
        <f>HYPERLINK("[P Only New retention.xlsx]'National Results By Measure'!B20", 12725915.2848281)</f>
        <v>12725915.2848281</v>
      </c>
      <c r="R24" s="27">
        <f>HYPERLINK("[P Only New retention.xlsx]'National Results By Measure'!E20", 1083.32556465426)</f>
        <v>1083.32556465426</v>
      </c>
      <c r="S24" s="26">
        <f>HYPERLINK("[P Only with New retention and Differentiation.xlsx]'National Results By Measure'!B20", 12737863.7765565)</f>
        <v>12737863.776556499</v>
      </c>
      <c r="T24" s="27">
        <f>HYPERLINK("[P Only with New retention and Differentiation.xlsx]'National Results By Measure'!E20", 1084.02156465426)</f>
        <v>1084.0215646542599</v>
      </c>
    </row>
    <row r="25" spans="1:20" x14ac:dyDescent="0.55000000000000004">
      <c r="A25" s="3" t="s">
        <v>64</v>
      </c>
      <c r="B25" s="5" t="s">
        <v>53</v>
      </c>
      <c r="C25" s="13"/>
      <c r="D25" s="13"/>
      <c r="E25" s="13"/>
      <c r="F25" s="13"/>
      <c r="G25" s="13"/>
      <c r="H25" s="13"/>
      <c r="I25" s="28">
        <f>HYPERLINK("[N&amp;P Old retention.xlsx]'National Results By Measure'!B29", 116767.98)</f>
        <v>116767.98</v>
      </c>
      <c r="J25" s="29">
        <f>HYPERLINK("[N&amp;P Old retention.xlsx]'National Results By Measure'!E29", 14.71)</f>
        <v>14.71</v>
      </c>
      <c r="K25" s="28">
        <f>HYPERLINK("[N&amp;P New retention.xlsx]'National Results By Measure'!B29", 114434.208)</f>
        <v>114434.208</v>
      </c>
      <c r="L25" s="29">
        <f>HYPERLINK("[N&amp;P New retention.xlsx]'National Results By Measure'!E29", 14.416)</f>
        <v>14.416</v>
      </c>
      <c r="M25" s="28">
        <f>HYPERLINK("[N&amp;P with New retention and Differentiation.xlsx]'National Results By Measure'!B29", 114545.34)</f>
        <v>114545.34</v>
      </c>
      <c r="N25" s="29">
        <f>HYPERLINK("[N&amp;P with New retention and Differentiation.xlsx]'National Results By Measure'!E29", 14.43)</f>
        <v>14.43</v>
      </c>
      <c r="O25" s="28">
        <f>HYPERLINK("[P Only Old retention.xlsx]'National Results By Measure'!B29", 116053.56)</f>
        <v>116053.56</v>
      </c>
      <c r="P25" s="29">
        <f>HYPERLINK("[P Only Old retention.xlsx]'National Results By Measure'!E29", 14.62)</f>
        <v>14.62</v>
      </c>
      <c r="Q25" s="28">
        <f>HYPERLINK("[P Only New retention.xlsx]'National Results By Measure'!B29", 116053.56)</f>
        <v>116053.56</v>
      </c>
      <c r="R25" s="29">
        <f>HYPERLINK("[P Only New retention.xlsx]'National Results By Measure'!E29", 14.62)</f>
        <v>14.62</v>
      </c>
      <c r="S25" s="28">
        <f>HYPERLINK("[P Only with New retention and Differentiation.xlsx]'National Results By Measure'!B29", 116053.56)</f>
        <v>116053.56</v>
      </c>
      <c r="T25" s="29">
        <f>HYPERLINK("[P Only with New retention and Differentiation.xlsx]'National Results By Measure'!E29", 14.62)</f>
        <v>14.62</v>
      </c>
    </row>
    <row r="26" spans="1:20" x14ac:dyDescent="0.55000000000000004">
      <c r="A26" s="2" t="s">
        <v>67</v>
      </c>
      <c r="B26" s="6" t="s">
        <v>69</v>
      </c>
      <c r="C26" s="18"/>
      <c r="D26" s="18"/>
      <c r="E26" s="18"/>
      <c r="F26" s="18"/>
      <c r="G26" s="18"/>
      <c r="H26" s="18"/>
      <c r="I26" s="26">
        <f>HYPERLINK("[N&amp;P Old retention.xlsx]'National Results By Measure'!B21", 8540.86499840304)</f>
        <v>8540.8649984030399</v>
      </c>
      <c r="J26" s="27">
        <f>HYPERLINK("[N&amp;P Old retention.xlsx]'National Results By Measure'!E21", 23.88)</f>
        <v>23.88</v>
      </c>
      <c r="K26" s="26">
        <f>HYPERLINK("[N&amp;P New retention.xlsx]'National Results By Measure'!B21", 1019.44955545014)</f>
        <v>1019.44955545014</v>
      </c>
      <c r="L26" s="27">
        <f>HYPERLINK("[N&amp;P New retention.xlsx]'National Results By Measure'!E21", 2.99)</f>
        <v>2.99</v>
      </c>
      <c r="M26" s="26">
        <f>HYPERLINK("[N&amp;P with New retention and Differentiation.xlsx]'National Results By Measure'!B21", 10512.1415504787)</f>
        <v>10512.1415504787</v>
      </c>
      <c r="N26" s="27">
        <f>HYPERLINK("[N&amp;P with New retention and Differentiation.xlsx]'National Results By Measure'!E21", 50.09)</f>
        <v>50.09</v>
      </c>
      <c r="O26" s="26">
        <f>HYPERLINK("[P Only Old retention.xlsx]'National Results By Measure'!B21", 1757.47997812589)</f>
        <v>1757.4799781258901</v>
      </c>
      <c r="P26" s="27">
        <f>HYPERLINK("[P Only Old retention.xlsx]'National Results By Measure'!E21", 4.37)</f>
        <v>4.37</v>
      </c>
      <c r="Q26" s="26">
        <f>HYPERLINK("[P Only New retention.xlsx]'National Results By Measure'!B21", 1120.01594160077)</f>
        <v>1120.01594160077</v>
      </c>
      <c r="R26" s="27">
        <f>HYPERLINK("[P Only New retention.xlsx]'National Results By Measure'!E21", 2.888)</f>
        <v>2.8879999999999999</v>
      </c>
      <c r="S26" s="26">
        <f>HYPERLINK("[P Only with New retention and Differentiation.xlsx]'National Results By Measure'!B21", 78.8140529252463)</f>
        <v>78.814052925246301</v>
      </c>
      <c r="T26" s="27">
        <f>HYPERLINK("[P Only with New retention and Differentiation.xlsx]'National Results By Measure'!E21", 0.21)</f>
        <v>0.21</v>
      </c>
    </row>
    <row r="27" spans="1:20" x14ac:dyDescent="0.55000000000000004">
      <c r="A27" s="3" t="s">
        <v>70</v>
      </c>
      <c r="B27" s="5" t="s">
        <v>69</v>
      </c>
      <c r="C27" s="13"/>
      <c r="D27" s="13"/>
      <c r="E27" s="13"/>
      <c r="F27" s="13"/>
      <c r="G27" s="13"/>
      <c r="H27" s="13"/>
      <c r="I27" s="28">
        <f>HYPERLINK("[N&amp;P Old retention.xlsx]'National Results By Measure'!B22", 864550.282469595)</f>
        <v>864550.28246959497</v>
      </c>
      <c r="J27" s="29">
        <f>HYPERLINK("[N&amp;P Old retention.xlsx]'National Results By Measure'!E22", 2502.41)</f>
        <v>2502.41</v>
      </c>
      <c r="K27" s="28">
        <f>HYPERLINK("[N&amp;P New retention.xlsx]'National Results By Measure'!B22", 852935.459392044)</f>
        <v>852935.45939204399</v>
      </c>
      <c r="L27" s="29">
        <f>HYPERLINK("[N&amp;P New retention.xlsx]'National Results By Measure'!E22", 2503.26)</f>
        <v>2503.2600000000002</v>
      </c>
      <c r="M27" s="28">
        <f>HYPERLINK("[N&amp;P with New retention and Differentiation.xlsx]'National Results By Measure'!B22", 838011.336900484)</f>
        <v>838011.33690048405</v>
      </c>
      <c r="N27" s="29">
        <f>HYPERLINK("[N&amp;P with New retention and Differentiation.xlsx]'National Results By Measure'!E22", 2454.774)</f>
        <v>2454.7739999999999</v>
      </c>
      <c r="O27" s="28">
        <f>HYPERLINK("[P Only Old retention.xlsx]'National Results By Measure'!B22", 914051.460523001)</f>
        <v>914051.46052300103</v>
      </c>
      <c r="P27" s="29">
        <f>HYPERLINK("[P Only Old retention.xlsx]'National Results By Measure'!E22", 2685.348)</f>
        <v>2685.348</v>
      </c>
      <c r="Q27" s="28">
        <f>HYPERLINK("[P Only New retention.xlsx]'National Results By Measure'!B22", 912612.853746066)</f>
        <v>912612.85374606599</v>
      </c>
      <c r="R27" s="29">
        <f>HYPERLINK("[P Only New retention.xlsx]'National Results By Measure'!E22", 2671.836)</f>
        <v>2671.8359999999998</v>
      </c>
      <c r="S27" s="28">
        <f>HYPERLINK("[P Only with New retention and Differentiation.xlsx]'National Results By Measure'!B22", 909819.32519219)</f>
        <v>909819.32519219001</v>
      </c>
      <c r="T27" s="29">
        <f>HYPERLINK("[P Only with New retention and Differentiation.xlsx]'National Results By Measure'!E22", 2658.92)</f>
        <v>2658.92</v>
      </c>
    </row>
    <row r="28" spans="1:20" x14ac:dyDescent="0.55000000000000004">
      <c r="A28" s="2" t="s">
        <v>72</v>
      </c>
      <c r="B28" s="6" t="s">
        <v>69</v>
      </c>
      <c r="C28" s="18"/>
      <c r="D28" s="18"/>
      <c r="E28" s="18"/>
      <c r="F28" s="18"/>
      <c r="G28" s="18"/>
      <c r="H28" s="18"/>
      <c r="I28" s="26">
        <f>HYPERLINK("[N&amp;P Old retention.xlsx]'National Results By Measure'!B23", 1843.5)</f>
        <v>1843.5</v>
      </c>
      <c r="J28" s="27">
        <f>HYPERLINK("[N&amp;P Old retention.xlsx]'National Results By Measure'!E23", 7.374)</f>
        <v>7.3739999999999997</v>
      </c>
      <c r="K28" s="18"/>
      <c r="L28" s="18"/>
      <c r="M28" s="26">
        <f>HYPERLINK("[N&amp;P with New retention and Differentiation.xlsx]'National Results By Measure'!B23", 244)</f>
        <v>244</v>
      </c>
      <c r="N28" s="27">
        <f>HYPERLINK("[N&amp;P with New retention and Differentiation.xlsx]'National Results By Measure'!E23", 0.976)</f>
        <v>0.97599999999999998</v>
      </c>
      <c r="O28" s="18"/>
      <c r="P28" s="18"/>
      <c r="Q28" s="18"/>
      <c r="R28" s="18"/>
      <c r="S28" s="18"/>
      <c r="T28" s="18"/>
    </row>
    <row r="29" spans="1:20" x14ac:dyDescent="0.55000000000000004">
      <c r="A29" s="3" t="s">
        <v>74</v>
      </c>
      <c r="B29" s="5" t="s">
        <v>69</v>
      </c>
      <c r="C29" s="13"/>
      <c r="D29" s="13"/>
      <c r="E29" s="13"/>
      <c r="F29" s="13"/>
      <c r="G29" s="13"/>
      <c r="H29" s="13"/>
      <c r="I29" s="28">
        <f>HYPERLINK("[N&amp;P Old retention.xlsx]'National Results By Measure'!B24", 2112247.8)</f>
        <v>2112247.7999999998</v>
      </c>
      <c r="J29" s="29">
        <f>HYPERLINK("[N&amp;P Old retention.xlsx]'National Results By Measure'!E24", 7040.826)</f>
        <v>7040.826</v>
      </c>
      <c r="K29" s="28">
        <f>HYPERLINK("[N&amp;P New retention.xlsx]'National Results By Measure'!B24", 2063822.9999902)</f>
        <v>2063822.9999901999</v>
      </c>
      <c r="L29" s="29">
        <f>HYPERLINK("[N&amp;P New retention.xlsx]'National Results By Measure'!E24", 6879.40999996733)</f>
        <v>6879.4099999673299</v>
      </c>
      <c r="M29" s="28">
        <f>HYPERLINK("[N&amp;P with New retention and Differentiation.xlsx]'National Results By Measure'!B24", 2060799)</f>
        <v>2060799</v>
      </c>
      <c r="N29" s="29">
        <f>HYPERLINK("[N&amp;P with New retention and Differentiation.xlsx]'National Results By Measure'!E24", 6869.33)</f>
        <v>6869.33</v>
      </c>
      <c r="O29" s="28">
        <f>HYPERLINK("[P Only Old retention.xlsx]'National Results By Measure'!B24", 2222609.4)</f>
        <v>2222609.4</v>
      </c>
      <c r="P29" s="29">
        <f>HYPERLINK("[P Only Old retention.xlsx]'National Results By Measure'!E24", 7408.698)</f>
        <v>7408.6980000000003</v>
      </c>
      <c r="Q29" s="28">
        <f>HYPERLINK("[P Only New retention.xlsx]'National Results By Measure'!B24", 2240689.2)</f>
        <v>2240689.2000000002</v>
      </c>
      <c r="R29" s="29">
        <f>HYPERLINK("[P Only New retention.xlsx]'National Results By Measure'!E24", 7468.964)</f>
        <v>7468.9639999999999</v>
      </c>
      <c r="S29" s="28">
        <f>HYPERLINK("[P Only with New retention and Differentiation.xlsx]'National Results By Measure'!B24", 2222328)</f>
        <v>2222328</v>
      </c>
      <c r="T29" s="29">
        <f>HYPERLINK("[P Only with New retention and Differentiation.xlsx]'National Results By Measure'!E24", 7407.76)</f>
        <v>7407.76</v>
      </c>
    </row>
    <row r="30" spans="1:20" x14ac:dyDescent="0.55000000000000004">
      <c r="A30" s="2" t="s">
        <v>76</v>
      </c>
      <c r="B30" s="6" t="s">
        <v>69</v>
      </c>
      <c r="C30" s="26">
        <f>HYPERLINK("[N Only Old retention.xlsx]'National Results By Measure'!B25", 6373.71699890638)</f>
        <v>6373.7169989063796</v>
      </c>
      <c r="D30" s="27">
        <f>HYPERLINK("[N Only Old retention.xlsx]'National Results By Measure'!E25", 3.402)</f>
        <v>3.4020000000000001</v>
      </c>
      <c r="E30" s="26">
        <f>HYPERLINK("[N Only New retention.xlsx]'National Results By Measure'!B25", 6168.8052847998)</f>
        <v>6168.8052847997997</v>
      </c>
      <c r="F30" s="27">
        <f>HYPERLINK("[N Only New retention.xlsx]'National Results By Measure'!E25", 3.582)</f>
        <v>3.5819999999999999</v>
      </c>
      <c r="G30" s="26">
        <f>HYPERLINK("[N Only with New retention and Differentiation.xlsx]'National Results By Measure'!B25", 7378.63148070911)</f>
        <v>7378.6314807091103</v>
      </c>
      <c r="H30" s="27">
        <f>HYPERLINK("[N Only with New retention and Differentiation.xlsx]'National Results By Measure'!E25", 3.996)</f>
        <v>3.996</v>
      </c>
      <c r="I30" s="26">
        <f>HYPERLINK("[N&amp;P Old retention.xlsx]'National Results By Measure'!B25", 13720.467801501)</f>
        <v>13720.467801500999</v>
      </c>
      <c r="J30" s="27">
        <f>HYPERLINK("[N&amp;P Old retention.xlsx]'National Results By Measure'!E25", 18.38)</f>
        <v>18.38</v>
      </c>
      <c r="K30" s="26">
        <f>HYPERLINK("[N&amp;P New retention.xlsx]'National Results By Measure'!B25", 5878.84610403657)</f>
        <v>5878.8461040365701</v>
      </c>
      <c r="L30" s="27">
        <f>HYPERLINK("[N&amp;P New retention.xlsx]'National Results By Measure'!E25", 2.236)</f>
        <v>2.2360000000000002</v>
      </c>
      <c r="M30" s="26">
        <f>HYPERLINK("[N&amp;P with New retention and Differentiation.xlsx]'National Results By Measure'!B25", 3175.80667237583)</f>
        <v>3175.8066723758302</v>
      </c>
      <c r="N30" s="27">
        <f>HYPERLINK("[N&amp;P with New retention and Differentiation.xlsx]'National Results By Measure'!E25", 1.966)</f>
        <v>1.966</v>
      </c>
      <c r="O30" s="26">
        <f>HYPERLINK("[P Only Old retention.xlsx]'National Results By Measure'!B25", 3.5)</f>
        <v>3.5</v>
      </c>
      <c r="P30" s="27">
        <f>HYPERLINK("[P Only Old retention.xlsx]'National Results By Measure'!E25", 0.07)</f>
        <v>7.0000000000000007E-2</v>
      </c>
      <c r="Q30" s="18"/>
      <c r="R30" s="18"/>
      <c r="S30" s="18"/>
      <c r="T30" s="18"/>
    </row>
    <row r="31" spans="1:20" x14ac:dyDescent="0.55000000000000004">
      <c r="A31" s="3" t="s">
        <v>78</v>
      </c>
      <c r="B31" s="5" t="s">
        <v>69</v>
      </c>
      <c r="C31" s="28">
        <f>HYPERLINK("[N Only Old retention.xlsx]'National Results By Measure'!B26", 27781.2770970072)</f>
        <v>27781.277097007202</v>
      </c>
      <c r="D31" s="29">
        <f>HYPERLINK("[N Only Old retention.xlsx]'National Results By Measure'!E26", 21.342)</f>
        <v>21.341999999999999</v>
      </c>
      <c r="E31" s="28">
        <f>HYPERLINK("[N Only New retention.xlsx]'National Results By Measure'!B26", 18650.0425770948)</f>
        <v>18650.042577094799</v>
      </c>
      <c r="F31" s="29">
        <f>HYPERLINK("[N Only New retention.xlsx]'National Results By Measure'!E26", 20.382)</f>
        <v>20.382000000000001</v>
      </c>
      <c r="G31" s="28">
        <f>HYPERLINK("[N Only with New retention and Differentiation.xlsx]'National Results By Measure'!B26", 27095.2804241999)</f>
        <v>27095.2804241999</v>
      </c>
      <c r="H31" s="29">
        <f>HYPERLINK("[N Only with New retention and Differentiation.xlsx]'National Results By Measure'!E26", 27.796)</f>
        <v>27.795999999999999</v>
      </c>
      <c r="I31" s="28">
        <f>HYPERLINK("[N&amp;P Old retention.xlsx]'National Results By Measure'!B26", 27883.7039327298)</f>
        <v>27883.703932729801</v>
      </c>
      <c r="J31" s="29">
        <f>HYPERLINK("[N&amp;P Old retention.xlsx]'National Results By Measure'!E26", 29.054)</f>
        <v>29.053999999999998</v>
      </c>
      <c r="K31" s="28">
        <f>HYPERLINK("[N&amp;P New retention.xlsx]'National Results By Measure'!B26", 28621.159041119)</f>
        <v>28621.159041119001</v>
      </c>
      <c r="L31" s="29">
        <f>HYPERLINK("[N&amp;P New retention.xlsx]'National Results By Measure'!E26", 31.668)</f>
        <v>31.667999999999999</v>
      </c>
      <c r="M31" s="28">
        <f>HYPERLINK("[N&amp;P with New retention and Differentiation.xlsx]'National Results By Measure'!B26", 26825.2754868182)</f>
        <v>26825.275486818198</v>
      </c>
      <c r="N31" s="29">
        <f>HYPERLINK("[N&amp;P with New retention and Differentiation.xlsx]'National Results By Measure'!E26", 26.56)</f>
        <v>26.56</v>
      </c>
      <c r="O31" s="28">
        <f>HYPERLINK("[P Only Old retention.xlsx]'National Results By Measure'!B26", 460.855852228891)</f>
        <v>460.85585222889102</v>
      </c>
      <c r="P31" s="29">
        <f>HYPERLINK("[P Only Old retention.xlsx]'National Results By Measure'!E26", 4.89)</f>
        <v>4.8899999999999997</v>
      </c>
      <c r="Q31" s="13"/>
      <c r="R31" s="13"/>
      <c r="S31" s="13"/>
      <c r="T31" s="13"/>
    </row>
    <row r="32" spans="1:20" x14ac:dyDescent="0.55000000000000004">
      <c r="A32" s="2" t="s">
        <v>80</v>
      </c>
      <c r="B32" s="6" t="s">
        <v>69</v>
      </c>
      <c r="C32" s="26">
        <f>HYPERLINK("[N Only Old retention.xlsx]'National Results By Measure'!B27", 452.736362596075)</f>
        <v>452.73636259607503</v>
      </c>
      <c r="D32" s="27">
        <f>HYPERLINK("[N Only Old retention.xlsx]'National Results By Measure'!E27", 0.23)</f>
        <v>0.23</v>
      </c>
      <c r="E32" s="26">
        <f>HYPERLINK("[N Only New retention.xlsx]'National Results By Measure'!B27", 1160.85117313182)</f>
        <v>1160.8511731318199</v>
      </c>
      <c r="F32" s="27">
        <f>HYPERLINK("[N Only New retention.xlsx]'National Results By Measure'!E27", 0.59)</f>
        <v>0.59</v>
      </c>
      <c r="G32" s="26">
        <f>HYPERLINK("[N Only with New retention and Differentiation.xlsx]'National Results By Measure'!B27", 341.889461219124)</f>
        <v>341.88946121912397</v>
      </c>
      <c r="H32" s="27">
        <f>HYPERLINK("[N Only with New retention and Differentiation.xlsx]'National Results By Measure'!E27", 0.21)</f>
        <v>0.21</v>
      </c>
      <c r="I32" s="26">
        <f>HYPERLINK("[N&amp;P Old retention.xlsx]'National Results By Measure'!B27", 823708.812661502)</f>
        <v>823708.81266150204</v>
      </c>
      <c r="J32" s="27">
        <f>HYPERLINK("[N&amp;P Old retention.xlsx]'National Results By Measure'!E27", 8170.482)</f>
        <v>8170.482</v>
      </c>
      <c r="K32" s="26">
        <f>HYPERLINK("[N&amp;P New retention.xlsx]'National Results By Measure'!B27", 841418.072716313)</f>
        <v>841418.07271631295</v>
      </c>
      <c r="L32" s="27">
        <f>HYPERLINK("[N&amp;P New retention.xlsx]'National Results By Measure'!E27", 8404.844)</f>
        <v>8404.8439999999991</v>
      </c>
      <c r="M32" s="26">
        <f>HYPERLINK("[N&amp;P with New retention and Differentiation.xlsx]'National Results By Measure'!B27", 848313.895769894)</f>
        <v>848313.89576989401</v>
      </c>
      <c r="N32" s="27">
        <f>HYPERLINK("[N&amp;P with New retention and Differentiation.xlsx]'National Results By Measure'!E27", 8472.436)</f>
        <v>8472.4359999999997</v>
      </c>
      <c r="O32" s="26">
        <f>HYPERLINK("[P Only Old retention.xlsx]'National Results By Measure'!B27", 995964.265502679)</f>
        <v>995964.26550267905</v>
      </c>
      <c r="P32" s="27">
        <f>HYPERLINK("[P Only Old retention.xlsx]'National Results By Measure'!E27", 9957.506)</f>
        <v>9957.5059999999994</v>
      </c>
      <c r="Q32" s="26">
        <f>HYPERLINK("[P Only New retention.xlsx]'National Results By Measure'!B27", 1019189.17850284)</f>
        <v>1019189.17850284</v>
      </c>
      <c r="R32" s="27">
        <f>HYPERLINK("[P Only New retention.xlsx]'National Results By Measure'!E27", 10191.612)</f>
        <v>10191.611999999999</v>
      </c>
      <c r="S32" s="26">
        <f>HYPERLINK("[P Only with New retention and Differentiation.xlsx]'National Results By Measure'!B27", 966890.6)</f>
        <v>966890.6</v>
      </c>
      <c r="T32" s="27">
        <f>HYPERLINK("[P Only with New retention and Differentiation.xlsx]'National Results By Measure'!E27", 9668.906)</f>
        <v>9668.9060000000009</v>
      </c>
    </row>
    <row r="33" spans="1:20" x14ac:dyDescent="0.55000000000000004">
      <c r="A33" s="3" t="s">
        <v>82</v>
      </c>
      <c r="B33" s="5" t="s">
        <v>69</v>
      </c>
      <c r="C33" s="28">
        <f>HYPERLINK("[N Only Old retention.xlsx]'National Results By Measure'!B28", 9115.35143923626)</f>
        <v>9115.3514392362595</v>
      </c>
      <c r="D33" s="29">
        <f>HYPERLINK("[N Only Old retention.xlsx]'National Results By Measure'!E28", 7.534)</f>
        <v>7.5339999999999998</v>
      </c>
      <c r="E33" s="28">
        <f>HYPERLINK("[N Only New retention.xlsx]'National Results By Measure'!B28", 9345.24607712245)</f>
        <v>9345.2460771224505</v>
      </c>
      <c r="F33" s="29">
        <f>HYPERLINK("[N Only New retention.xlsx]'National Results By Measure'!E28", 11.642)</f>
        <v>11.641999999999999</v>
      </c>
      <c r="G33" s="28">
        <f>HYPERLINK("[N Only with New retention and Differentiation.xlsx]'National Results By Measure'!B28", 7608.66203097577)</f>
        <v>7608.66203097577</v>
      </c>
      <c r="H33" s="29">
        <f>HYPERLINK("[N Only with New retention and Differentiation.xlsx]'National Results By Measure'!E28", 8.234)</f>
        <v>8.234</v>
      </c>
      <c r="I33" s="28">
        <f>HYPERLINK("[N&amp;P Old retention.xlsx]'National Results By Measure'!B28", 878033.165407162)</f>
        <v>878033.16540716204</v>
      </c>
      <c r="J33" s="29">
        <f>HYPERLINK("[N&amp;P Old retention.xlsx]'National Results By Measure'!E28", 3908.668)</f>
        <v>3908.6680000000001</v>
      </c>
      <c r="K33" s="28">
        <f>HYPERLINK("[N&amp;P New retention.xlsx]'National Results By Measure'!B28", 924776.026881034)</f>
        <v>924776.02688103402</v>
      </c>
      <c r="L33" s="29">
        <f>HYPERLINK("[N&amp;P New retention.xlsx]'National Results By Measure'!E28", 4000.388)</f>
        <v>4000.3879999999999</v>
      </c>
      <c r="M33" s="28">
        <f>HYPERLINK("[N&amp;P with New retention and Differentiation.xlsx]'National Results By Measure'!B28", 956066.408693345)</f>
        <v>956066.40869334503</v>
      </c>
      <c r="N33" s="29">
        <f>HYPERLINK("[N&amp;P with New retention and Differentiation.xlsx]'National Results By Measure'!E28", 4251.90199999686)</f>
        <v>4251.9019999968596</v>
      </c>
      <c r="O33" s="28">
        <f>HYPERLINK("[P Only Old retention.xlsx]'National Results By Measure'!B28", 723768.288723951)</f>
        <v>723768.28872395097</v>
      </c>
      <c r="P33" s="29">
        <f>HYPERLINK("[P Only Old retention.xlsx]'National Results By Measure'!E28", 4047.806)</f>
        <v>4047.806</v>
      </c>
      <c r="Q33" s="28">
        <f>HYPERLINK("[P Only New retention.xlsx]'National Results By Measure'!B28", 703239.496967262)</f>
        <v>703239.49696726201</v>
      </c>
      <c r="R33" s="29">
        <f>HYPERLINK("[P Only New retention.xlsx]'National Results By Measure'!E28", 3855.562)</f>
        <v>3855.5619999999999</v>
      </c>
      <c r="S33" s="28">
        <f>HYPERLINK("[P Only with New retention and Differentiation.xlsx]'National Results By Measure'!B28", 728264.296967262)</f>
        <v>728264.29696726205</v>
      </c>
      <c r="T33" s="29">
        <f>HYPERLINK("[P Only with New retention and Differentiation.xlsx]'National Results By Measure'!E28", 4105.81)</f>
        <v>4105.8100000000004</v>
      </c>
    </row>
    <row r="34" spans="1:20" x14ac:dyDescent="0.55000000000000004">
      <c r="A34" s="2" t="s">
        <v>85</v>
      </c>
      <c r="B34" s="6" t="s">
        <v>87</v>
      </c>
      <c r="C34" s="26">
        <f>HYPERLINK("[N Only Old retention.xlsx]'National Results By Measure'!B30", 23676007.4993697)</f>
        <v>23676007.4993697</v>
      </c>
      <c r="D34" s="27">
        <f>HYPERLINK("[N Only Old retention.xlsx]'National Results By Measure'!E30", 48650)</f>
        <v>48650</v>
      </c>
      <c r="E34" s="26">
        <f>HYPERLINK("[N Only New retention.xlsx]'National Results By Measure'!B30", 42976207.7838197)</f>
        <v>42976207.783819698</v>
      </c>
      <c r="F34" s="27">
        <f>HYPERLINK("[N Only New retention.xlsx]'National Results By Measure'!E30", 87640)</f>
        <v>87640</v>
      </c>
      <c r="G34" s="26">
        <f>HYPERLINK("[N Only with New retention and Differentiation.xlsx]'National Results By Measure'!B30", 41696896.3902557)</f>
        <v>41696896.390255697</v>
      </c>
      <c r="H34" s="27">
        <f>HYPERLINK("[N Only with New retention and Differentiation.xlsx]'National Results By Measure'!E30", 84960)</f>
        <v>84960</v>
      </c>
      <c r="I34" s="26">
        <f>HYPERLINK("[N&amp;P Old retention.xlsx]'National Results By Measure'!B30", 70699396.8577681)</f>
        <v>70699396.857768103</v>
      </c>
      <c r="J34" s="27">
        <f>HYPERLINK("[N&amp;P Old retention.xlsx]'National Results By Measure'!E30", 134280)</f>
        <v>134280</v>
      </c>
      <c r="K34" s="26">
        <f>HYPERLINK("[N&amp;P New retention.xlsx]'National Results By Measure'!B30", 88278521.4509738)</f>
        <v>88278521.450973794</v>
      </c>
      <c r="L34" s="27">
        <f>HYPERLINK("[N&amp;P New retention.xlsx]'National Results By Measure'!E30", 169630)</f>
        <v>169630</v>
      </c>
      <c r="M34" s="26">
        <f>HYPERLINK("[N&amp;P with New retention and Differentiation.xlsx]'National Results By Measure'!B30", 86961541.3302371)</f>
        <v>86961541.330237105</v>
      </c>
      <c r="N34" s="27">
        <f>HYPERLINK("[N&amp;P with New retention and Differentiation.xlsx]'National Results By Measure'!E30", 167080)</f>
        <v>167080</v>
      </c>
      <c r="O34" s="26">
        <f>HYPERLINK("[P Only Old retention.xlsx]'National Results By Measure'!B30", 49834188.6224743)</f>
        <v>49834188.622474298</v>
      </c>
      <c r="P34" s="27">
        <f>HYPERLINK("[P Only Old retention.xlsx]'National Results By Measure'!E30", 91480)</f>
        <v>91480</v>
      </c>
      <c r="Q34" s="26">
        <f>HYPERLINK("[P Only New retention.xlsx]'National Results By Measure'!B30", 49777867.8840754)</f>
        <v>49777867.884075403</v>
      </c>
      <c r="R34" s="27">
        <f>HYPERLINK("[P Only New retention.xlsx]'National Results By Measure'!E30", 91410)</f>
        <v>91410</v>
      </c>
      <c r="S34" s="26">
        <f>HYPERLINK("[P Only with New retention and Differentiation.xlsx]'National Results By Measure'!B30", 49849283.2380459)</f>
        <v>49849283.238045901</v>
      </c>
      <c r="T34" s="27">
        <f>HYPERLINK("[P Only with New retention and Differentiation.xlsx]'National Results By Measure'!E30", 91470)</f>
        <v>91470</v>
      </c>
    </row>
    <row r="35" spans="1:20" x14ac:dyDescent="0.55000000000000004">
      <c r="A35" s="3" t="s">
        <v>91</v>
      </c>
      <c r="B35" s="5" t="s">
        <v>87</v>
      </c>
      <c r="C35" s="28">
        <f>HYPERLINK("[N Only Old retention.xlsx]'National Results By Measure'!B31", 755445.219390937)</f>
        <v>755445.21939093701</v>
      </c>
      <c r="D35" s="29">
        <f>HYPERLINK("[N Only Old retention.xlsx]'National Results By Measure'!E31", 3)</f>
        <v>3</v>
      </c>
      <c r="E35" s="28">
        <f>HYPERLINK("[N Only New retention.xlsx]'National Results By Measure'!B31", 2115923.29629195)</f>
        <v>2115923.2962919502</v>
      </c>
      <c r="F35" s="29">
        <f>HYPERLINK("[N Only New retention.xlsx]'National Results By Measure'!E31", 7)</f>
        <v>7</v>
      </c>
      <c r="G35" s="28">
        <f>HYPERLINK("[N Only with New retention and Differentiation.xlsx]'National Results By Measure'!B31", 2115923.29629195)</f>
        <v>2115923.2962919502</v>
      </c>
      <c r="H35" s="29">
        <f>HYPERLINK("[N Only with New retention and Differentiation.xlsx]'National Results By Measure'!E31", 7)</f>
        <v>7</v>
      </c>
      <c r="I35" s="28">
        <f>HYPERLINK("[N&amp;P Old retention.xlsx]'National Results By Measure'!B31", 4686512.45173105)</f>
        <v>4686512.4517310504</v>
      </c>
      <c r="J35" s="29">
        <f>HYPERLINK("[N&amp;P Old retention.xlsx]'National Results By Measure'!E31", 14)</f>
        <v>14</v>
      </c>
      <c r="K35" s="28">
        <f>HYPERLINK("[N&amp;P New retention.xlsx]'National Results By Measure'!B31", 4909352.55350655)</f>
        <v>4909352.5535065504</v>
      </c>
      <c r="L35" s="29">
        <f>HYPERLINK("[N&amp;P New retention.xlsx]'National Results By Measure'!E31", 18)</f>
        <v>18</v>
      </c>
      <c r="M35" s="28">
        <f>HYPERLINK("[N&amp;P with New retention and Differentiation.xlsx]'National Results By Measure'!B31", 4909352.55350655)</f>
        <v>4909352.5535065504</v>
      </c>
      <c r="N35" s="29">
        <f>HYPERLINK("[N&amp;P with New retention and Differentiation.xlsx]'National Results By Measure'!E31", 18)</f>
        <v>18</v>
      </c>
      <c r="O35" s="28">
        <f>HYPERLINK("[P Only Old retention.xlsx]'National Results By Measure'!B31", 3972657.94162752)</f>
        <v>3972657.9416275201</v>
      </c>
      <c r="P35" s="29">
        <f>HYPERLINK("[P Only Old retention.xlsx]'National Results By Measure'!E31", 12)</f>
        <v>12</v>
      </c>
      <c r="Q35" s="28">
        <f>HYPERLINK("[P Only New retention.xlsx]'National Results By Measure'!B31", 3972657.94162752)</f>
        <v>3972657.9416275201</v>
      </c>
      <c r="R35" s="29">
        <f>HYPERLINK("[P Only New retention.xlsx]'National Results By Measure'!E31", 12)</f>
        <v>12</v>
      </c>
      <c r="S35" s="28">
        <f>HYPERLINK("[P Only with New retention and Differentiation.xlsx]'National Results By Measure'!B31", 3972657.94162752)</f>
        <v>3972657.9416275201</v>
      </c>
      <c r="T35" s="29">
        <f>HYPERLINK("[P Only with New retention and Differentiation.xlsx]'National Results By Measure'!E31", 12)</f>
        <v>12</v>
      </c>
    </row>
    <row r="36" spans="1:20" x14ac:dyDescent="0.55000000000000004">
      <c r="A36" s="2" t="s">
        <v>93</v>
      </c>
      <c r="B36" s="6" t="s">
        <v>87</v>
      </c>
      <c r="C36" s="18"/>
      <c r="D36" s="27">
        <f>HYPERLINK("[N Only Old retention.xlsx]'National Results By Measure'!E32", 249)</f>
        <v>249</v>
      </c>
      <c r="E36" s="26">
        <f>HYPERLINK("[N Only New retention.xlsx]'National Results By Measure'!B32", 111453.950092532)</f>
        <v>111453.950092532</v>
      </c>
      <c r="F36" s="27">
        <f>HYPERLINK("[N Only New retention.xlsx]'National Results By Measure'!E32", 255)</f>
        <v>255</v>
      </c>
      <c r="G36" s="26">
        <f>HYPERLINK("[N Only with New retention and Differentiation.xlsx]'National Results By Measure'!B32", 111364.184092532)</f>
        <v>111364.184092532</v>
      </c>
      <c r="H36" s="27">
        <f>HYPERLINK("[N Only with New retention and Differentiation.xlsx]'National Results By Measure'!E32", 254)</f>
        <v>254</v>
      </c>
      <c r="I36" s="26">
        <f>HYPERLINK("[N&amp;P Old retention.xlsx]'National Results By Measure'!B32", 22228131.3520682)</f>
        <v>22228131.352068201</v>
      </c>
      <c r="J36" s="27">
        <f>HYPERLINK("[N&amp;P Old retention.xlsx]'National Results By Measure'!E32", 398)</f>
        <v>398</v>
      </c>
      <c r="K36" s="26">
        <f>HYPERLINK("[N&amp;P New retention.xlsx]'National Results By Measure'!B32", 22358994.4754529)</f>
        <v>22358994.4754529</v>
      </c>
      <c r="L36" s="27">
        <f>HYPERLINK("[N&amp;P New retention.xlsx]'National Results By Measure'!E32", 402)</f>
        <v>402</v>
      </c>
      <c r="M36" s="26">
        <f>HYPERLINK("[N&amp;P with New retention and Differentiation.xlsx]'National Results By Measure'!B32", 23672954.6888405)</f>
        <v>23672954.688840501</v>
      </c>
      <c r="N36" s="27">
        <f>HYPERLINK("[N&amp;P with New retention and Differentiation.xlsx]'National Results By Measure'!E32", 403)</f>
        <v>403</v>
      </c>
      <c r="O36" s="26">
        <f>HYPERLINK("[P Only Old retention.xlsx]'National Results By Measure'!B32", 22247618.2818732)</f>
        <v>22247618.2818732</v>
      </c>
      <c r="P36" s="27">
        <f>HYPERLINK("[P Only Old retention.xlsx]'National Results By Measure'!E32", 205)</f>
        <v>205</v>
      </c>
      <c r="Q36" s="26">
        <f>HYPERLINK("[P Only New retention.xlsx]'National Results By Measure'!B32", 22247618.2818732)</f>
        <v>22247618.2818732</v>
      </c>
      <c r="R36" s="27">
        <f>HYPERLINK("[P Only New retention.xlsx]'National Results By Measure'!E32", 205)</f>
        <v>205</v>
      </c>
      <c r="S36" s="26">
        <f>HYPERLINK("[P Only with New retention and Differentiation.xlsx]'National Results By Measure'!B32", 22433231.0590993)</f>
        <v>22433231.059099302</v>
      </c>
      <c r="T36" s="27">
        <f>HYPERLINK("[P Only with New retention and Differentiation.xlsx]'National Results By Measure'!E32", 206)</f>
        <v>206</v>
      </c>
    </row>
    <row r="37" spans="1:20" x14ac:dyDescent="0.55000000000000004">
      <c r="A37" s="3" t="s">
        <v>95</v>
      </c>
      <c r="B37" s="5" t="s">
        <v>87</v>
      </c>
      <c r="C37" s="13"/>
      <c r="D37" s="13"/>
      <c r="E37" s="13"/>
      <c r="F37" s="13"/>
      <c r="G37" s="13"/>
      <c r="H37" s="13"/>
      <c r="I37" s="28">
        <f>HYPERLINK("[N&amp;P Old retention.xlsx]'National Results By Measure'!B33", 11871328.4)</f>
        <v>11871328.4</v>
      </c>
      <c r="J37" s="29">
        <f>HYPERLINK("[N&amp;P Old retention.xlsx]'National Results By Measure'!E33", 4082.3)</f>
        <v>4082.3</v>
      </c>
      <c r="K37" s="28">
        <f>HYPERLINK("[N&amp;P New retention.xlsx]'National Results By Measure'!B33", 11859696.4)</f>
        <v>11859696.4</v>
      </c>
      <c r="L37" s="29">
        <f>HYPERLINK("[N&amp;P New retention.xlsx]'National Results By Measure'!E33", 4078.3)</f>
        <v>4078.3</v>
      </c>
      <c r="M37" s="28">
        <f>HYPERLINK("[N&amp;P with New retention and Differentiation.xlsx]'National Results By Measure'!B33", 11775946)</f>
        <v>11775946</v>
      </c>
      <c r="N37" s="29">
        <f>HYPERLINK("[N&amp;P with New retention and Differentiation.xlsx]'National Results By Measure'!E33", 4049.5)</f>
        <v>4049.5</v>
      </c>
      <c r="O37" s="28">
        <f>HYPERLINK("[P Only Old retention.xlsx]'National Results By Measure'!B33", 11839049.6)</f>
        <v>11839049.6</v>
      </c>
      <c r="P37" s="29">
        <f>HYPERLINK("[P Only Old retention.xlsx]'National Results By Measure'!E33", 4071.2)</f>
        <v>4071.2</v>
      </c>
      <c r="Q37" s="28">
        <f>HYPERLINK("[P Only New retention.xlsx]'National Results By Measure'!B33", 11835269.2)</f>
        <v>11835269.199999999</v>
      </c>
      <c r="R37" s="29">
        <f>HYPERLINK("[P Only New retention.xlsx]'National Results By Measure'!E33", 4069.9)</f>
        <v>4069.9</v>
      </c>
      <c r="S37" s="28">
        <f>HYPERLINK("[P Only with New retention and Differentiation.xlsx]'National Results By Measure'!B33", 11837014)</f>
        <v>11837014</v>
      </c>
      <c r="T37" s="29">
        <f>HYPERLINK("[P Only with New retention and Differentiation.xlsx]'National Results By Measure'!E33", 4070.5)</f>
        <v>4070.5</v>
      </c>
    </row>
    <row r="38" spans="1:20" x14ac:dyDescent="0.55000000000000004">
      <c r="A38" s="2" t="s">
        <v>98</v>
      </c>
      <c r="B38" s="6" t="s">
        <v>87</v>
      </c>
      <c r="C38" s="18"/>
      <c r="D38" s="18"/>
      <c r="E38" s="18"/>
      <c r="F38" s="18"/>
      <c r="G38" s="18"/>
      <c r="H38" s="18"/>
      <c r="I38" s="26">
        <f>HYPERLINK("[N&amp;P Old retention.xlsx]'National Results By Measure'!B34", 323892)</f>
        <v>323892</v>
      </c>
      <c r="J38" s="27">
        <f>HYPERLINK("[N&amp;P Old retention.xlsx]'National Results By Measure'!E34", 27)</f>
        <v>27</v>
      </c>
      <c r="K38" s="26">
        <f>HYPERLINK("[N&amp;P New retention.xlsx]'National Results By Measure'!B34", 323892)</f>
        <v>323892</v>
      </c>
      <c r="L38" s="27">
        <f>HYPERLINK("[N&amp;P New retention.xlsx]'National Results By Measure'!E34", 27)</f>
        <v>27</v>
      </c>
      <c r="M38" s="26">
        <f>HYPERLINK("[N&amp;P with New retention and Differentiation.xlsx]'National Results By Measure'!B34", 323892)</f>
        <v>323892</v>
      </c>
      <c r="N38" s="27">
        <f>HYPERLINK("[N&amp;P with New retention and Differentiation.xlsx]'National Results By Measure'!E34", 27)</f>
        <v>27</v>
      </c>
      <c r="O38" s="26">
        <f>HYPERLINK("[P Only Old retention.xlsx]'National Results By Measure'!B34", 323892)</f>
        <v>323892</v>
      </c>
      <c r="P38" s="27">
        <f>HYPERLINK("[P Only Old retention.xlsx]'National Results By Measure'!E34", 27)</f>
        <v>27</v>
      </c>
      <c r="Q38" s="26">
        <f>HYPERLINK("[P Only New retention.xlsx]'National Results By Measure'!B34", 323892)</f>
        <v>323892</v>
      </c>
      <c r="R38" s="27">
        <f>HYPERLINK("[P Only New retention.xlsx]'National Results By Measure'!E34", 27)</f>
        <v>27</v>
      </c>
      <c r="S38" s="26">
        <f>HYPERLINK("[P Only with New retention and Differentiation.xlsx]'National Results By Measure'!B34", 323892)</f>
        <v>323892</v>
      </c>
      <c r="T38" s="27">
        <f>HYPERLINK("[P Only with New retention and Differentiation.xlsx]'National Results By Measure'!E34", 27)</f>
        <v>27</v>
      </c>
    </row>
    <row r="39" spans="1:20" x14ac:dyDescent="0.55000000000000004">
      <c r="A39" s="3" t="s">
        <v>100</v>
      </c>
      <c r="B39" s="5" t="s">
        <v>87</v>
      </c>
      <c r="C39" s="13"/>
      <c r="D39" s="13"/>
      <c r="E39" s="13"/>
      <c r="F39" s="13"/>
      <c r="G39" s="13"/>
      <c r="H39" s="13"/>
      <c r="I39" s="28">
        <f>HYPERLINK("[N&amp;P Old retention.xlsx]'National Results By Measure'!B35", 121537)</f>
        <v>121537</v>
      </c>
      <c r="J39" s="29">
        <f>HYPERLINK("[N&amp;P Old retention.xlsx]'National Results By Measure'!E35", 1)</f>
        <v>1</v>
      </c>
      <c r="K39" s="28">
        <f>HYPERLINK("[N&amp;P New retention.xlsx]'National Results By Measure'!B35", 121537)</f>
        <v>121537</v>
      </c>
      <c r="L39" s="29">
        <f>HYPERLINK("[N&amp;P New retention.xlsx]'National Results By Measure'!E35", 1)</f>
        <v>1</v>
      </c>
      <c r="M39" s="28">
        <f>HYPERLINK("[N&amp;P with New retention and Differentiation.xlsx]'National Results By Measure'!B35", 121537)</f>
        <v>121537</v>
      </c>
      <c r="N39" s="29">
        <f>HYPERLINK("[N&amp;P with New retention and Differentiation.xlsx]'National Results By Measure'!E35", 1)</f>
        <v>1</v>
      </c>
      <c r="O39" s="28">
        <f>HYPERLINK("[P Only Old retention.xlsx]'National Results By Measure'!B35", 121537)</f>
        <v>121537</v>
      </c>
      <c r="P39" s="29">
        <f>HYPERLINK("[P Only Old retention.xlsx]'National Results By Measure'!E35", 1)</f>
        <v>1</v>
      </c>
      <c r="Q39" s="28">
        <f>HYPERLINK("[P Only New retention.xlsx]'National Results By Measure'!B35", 121537)</f>
        <v>121537</v>
      </c>
      <c r="R39" s="29">
        <f>HYPERLINK("[P Only New retention.xlsx]'National Results By Measure'!E35", 1)</f>
        <v>1</v>
      </c>
      <c r="S39" s="28">
        <f>HYPERLINK("[P Only with New retention and Differentiation.xlsx]'National Results By Measure'!B35", 121537)</f>
        <v>121537</v>
      </c>
      <c r="T39" s="29">
        <f>HYPERLINK("[P Only with New retention and Differentiation.xlsx]'National Results By Measure'!E35", 1)</f>
        <v>1</v>
      </c>
    </row>
    <row r="40" spans="1:20" x14ac:dyDescent="0.55000000000000004">
      <c r="A40" s="2" t="s">
        <v>102</v>
      </c>
      <c r="B40" s="6" t="s">
        <v>87</v>
      </c>
      <c r="C40" s="18"/>
      <c r="D40" s="18"/>
      <c r="E40" s="18"/>
      <c r="F40" s="18"/>
      <c r="G40" s="18"/>
      <c r="H40" s="18"/>
      <c r="I40" s="26">
        <f>HYPERLINK("[N&amp;P Old retention.xlsx]'National Results By Measure'!B36", 2589129.98749766)</f>
        <v>2589129.9874976599</v>
      </c>
      <c r="J40" s="27">
        <f>HYPERLINK("[N&amp;P Old retention.xlsx]'National Results By Measure'!E36", 101.999999684284)</f>
        <v>101.99999968428401</v>
      </c>
      <c r="K40" s="26">
        <f>HYPERLINK("[N&amp;P New retention.xlsx]'National Results By Measure'!B36", 2563450)</f>
        <v>2563450</v>
      </c>
      <c r="L40" s="27">
        <f>HYPERLINK("[N&amp;P New retention.xlsx]'National Results By Measure'!E36", 100)</f>
        <v>100</v>
      </c>
      <c r="M40" s="26">
        <f>HYPERLINK("[N&amp;P with New retention and Differentiation.xlsx]'National Results By Measure'!B36", 2638490)</f>
        <v>2638490</v>
      </c>
      <c r="N40" s="27">
        <f>HYPERLINK("[N&amp;P with New retention and Differentiation.xlsx]'National Results By Measure'!E36", 101)</f>
        <v>101</v>
      </c>
      <c r="O40" s="26">
        <f>HYPERLINK("[P Only Old retention.xlsx]'National Results By Measure'!B36", 2653449.98795555)</f>
        <v>2653449.9879555502</v>
      </c>
      <c r="P40" s="27">
        <f>HYPERLINK("[P Only Old retention.xlsx]'National Results By Measure'!E36", 101.999999695847)</f>
        <v>101.99999969584699</v>
      </c>
      <c r="Q40" s="26">
        <f>HYPERLINK("[P Only New retention.xlsx]'National Results By Measure'!B36", 2653450)</f>
        <v>2653450</v>
      </c>
      <c r="R40" s="27">
        <f>HYPERLINK("[P Only New retention.xlsx]'National Results By Measure'!E36", 102)</f>
        <v>102</v>
      </c>
      <c r="S40" s="26">
        <f>HYPERLINK("[P Only with New retention and Differentiation.xlsx]'National Results By Measure'!B36", 2653450)</f>
        <v>2653450</v>
      </c>
      <c r="T40" s="27">
        <f>HYPERLINK("[P Only with New retention and Differentiation.xlsx]'National Results By Measure'!E36", 102)</f>
        <v>102</v>
      </c>
    </row>
    <row r="41" spans="1:20" x14ac:dyDescent="0.55000000000000004">
      <c r="A41" s="3" t="s">
        <v>104</v>
      </c>
      <c r="B41" s="5" t="s">
        <v>87</v>
      </c>
      <c r="C41" s="13"/>
      <c r="D41" s="13"/>
      <c r="E41" s="13"/>
      <c r="F41" s="13"/>
      <c r="G41" s="13"/>
      <c r="H41" s="13"/>
      <c r="I41" s="28">
        <f>HYPERLINK("[N&amp;P Old retention.xlsx]'National Results By Measure'!B37", 1223803.79381953)</f>
        <v>1223803.7938195299</v>
      </c>
      <c r="J41" s="29">
        <f>HYPERLINK("[N&amp;P Old retention.xlsx]'National Results By Measure'!E37", 7)</f>
        <v>7</v>
      </c>
      <c r="K41" s="28">
        <f>HYPERLINK("[N&amp;P New retention.xlsx]'National Results By Measure'!B37", 1223803.79381953)</f>
        <v>1223803.7938195299</v>
      </c>
      <c r="L41" s="29">
        <f>HYPERLINK("[N&amp;P New retention.xlsx]'National Results By Measure'!E37", 7)</f>
        <v>7</v>
      </c>
      <c r="M41" s="28">
        <f>HYPERLINK("[N&amp;P with New retention and Differentiation.xlsx]'National Results By Measure'!B37", 1223803.79381953)</f>
        <v>1223803.7938195299</v>
      </c>
      <c r="N41" s="29">
        <f>HYPERLINK("[N&amp;P with New retention and Differentiation.xlsx]'National Results By Measure'!E37", 7)</f>
        <v>7</v>
      </c>
      <c r="O41" s="28">
        <f>HYPERLINK("[P Only Old retention.xlsx]'National Results By Measure'!B37", 1223803.79381953)</f>
        <v>1223803.7938195299</v>
      </c>
      <c r="P41" s="29">
        <f>HYPERLINK("[P Only Old retention.xlsx]'National Results By Measure'!E37", 7)</f>
        <v>7</v>
      </c>
      <c r="Q41" s="28">
        <f>HYPERLINK("[P Only New retention.xlsx]'National Results By Measure'!B37", 1223803.79381953)</f>
        <v>1223803.7938195299</v>
      </c>
      <c r="R41" s="29">
        <f>HYPERLINK("[P Only New retention.xlsx]'National Results By Measure'!E37", 7)</f>
        <v>7</v>
      </c>
      <c r="S41" s="28">
        <f>HYPERLINK("[P Only with New retention and Differentiation.xlsx]'National Results By Measure'!B37", 1223803.79381953)</f>
        <v>1223803.7938195299</v>
      </c>
      <c r="T41" s="29">
        <f>HYPERLINK("[P Only with New retention and Differentiation.xlsx]'National Results By Measure'!E37", 7)</f>
        <v>7</v>
      </c>
    </row>
  </sheetData>
  <mergeCells count="16">
    <mergeCell ref="A1:T1"/>
    <mergeCell ref="A2:T2"/>
    <mergeCell ref="A3:A5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0"/>
  <sheetViews>
    <sheetView topLeftCell="A90" zoomScaleNormal="100" workbookViewId="0">
      <pane xSplit="2" topLeftCell="C1" activePane="topRight" state="frozen"/>
      <selection pane="topRight" activeCell="F3" sqref="F3"/>
    </sheetView>
  </sheetViews>
  <sheetFormatPr defaultColWidth="8.68359375" defaultRowHeight="14.4" x14ac:dyDescent="0.55000000000000004"/>
  <cols>
    <col min="1" max="2" width="30" customWidth="1"/>
    <col min="3" max="5" width="16" customWidth="1"/>
    <col min="6" max="6" width="15" customWidth="1"/>
    <col min="7" max="7" width="11" customWidth="1"/>
    <col min="8" max="8" width="15" customWidth="1"/>
    <col min="9" max="9" width="11" customWidth="1"/>
    <col min="10" max="10" width="15" customWidth="1"/>
    <col min="11" max="11" width="11" customWidth="1"/>
    <col min="12" max="14" width="13" customWidth="1"/>
  </cols>
  <sheetData>
    <row r="1" spans="1:14" ht="18" customHeight="1" x14ac:dyDescent="0.55000000000000004">
      <c r="A1" s="62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31.5" customHeight="1" x14ac:dyDescent="0.55000000000000004">
      <c r="A2" s="1" t="s">
        <v>140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145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150</v>
      </c>
      <c r="L2" s="1" t="s">
        <v>151</v>
      </c>
      <c r="M2" s="1" t="s">
        <v>152</v>
      </c>
      <c r="N2" s="1" t="s">
        <v>153</v>
      </c>
    </row>
    <row r="3" spans="1:14" x14ac:dyDescent="0.55000000000000004">
      <c r="A3" s="30">
        <v>1</v>
      </c>
      <c r="B3" s="6" t="s">
        <v>154</v>
      </c>
      <c r="C3" s="26">
        <f>HYPERLINK("[N Only Old retention.xlsx]'Coastal N Reductions'!C2", 6833652.77775217)</f>
        <v>6833652.7777521703</v>
      </c>
      <c r="D3" s="26">
        <f>HYPERLINK("[N Only New retention.xlsx]'Coastal N Reductions'!C2", 7589174.20944985)</f>
        <v>7589174.20944985</v>
      </c>
      <c r="E3" s="26">
        <f>HYPERLINK("[N Only with New retention and Differentiation.xlsx]'Coastal N Reductions'!C2", 7430942.18933115)</f>
        <v>7430942.1893311497</v>
      </c>
      <c r="F3" s="16">
        <f>D3-C3</f>
        <v>755521.43169767968</v>
      </c>
      <c r="G3" s="17">
        <f>D3/C3-1</f>
        <v>0.11055894355027474</v>
      </c>
      <c r="H3" s="16">
        <f>E3-C3</f>
        <v>597289.41157897934</v>
      </c>
      <c r="I3" s="17">
        <f>E3/C3-1</f>
        <v>8.7404120607873281E-2</v>
      </c>
      <c r="J3" s="21">
        <f>E3-D3</f>
        <v>-158232.02011870034</v>
      </c>
      <c r="K3" s="22">
        <f>E3/D3-1</f>
        <v>-2.0849701924311348E-2</v>
      </c>
      <c r="L3" s="27">
        <f>HYPERLINK("[N Only Old retention.xlsx]'Coastal N Reductions'!D2", 181.511301671301)</f>
        <v>181.511301671301</v>
      </c>
      <c r="M3" s="27">
        <f>HYPERLINK("[N Only New retention.xlsx]'Coastal N Reductions'!D2", 181.507639851106)</f>
        <v>181.50763985110601</v>
      </c>
      <c r="N3" s="27">
        <f>HYPERLINK("[N Only with New retention and Differentiation.xlsx]'Coastal N Reductions'!D2", 181.507725381082)</f>
        <v>181.507725381082</v>
      </c>
    </row>
    <row r="4" spans="1:14" x14ac:dyDescent="0.55000000000000004">
      <c r="A4" s="31">
        <v>2</v>
      </c>
      <c r="B4" s="5" t="s">
        <v>155</v>
      </c>
      <c r="C4" s="28">
        <f>HYPERLINK("[N Only Old retention.xlsx]'Coastal N Reductions'!C50", 7929836.33100372)</f>
        <v>7929836.3310037199</v>
      </c>
      <c r="D4" s="28">
        <f>HYPERLINK("[N Only New retention.xlsx]'Coastal N Reductions'!C50", 7339003.40247748)</f>
        <v>7339003.4024774795</v>
      </c>
      <c r="E4" s="28">
        <f>HYPERLINK("[N Only with New retention and Differentiation.xlsx]'Coastal N Reductions'!C50", 7276278.55235725)</f>
        <v>7276278.5523572499</v>
      </c>
      <c r="F4" s="21">
        <f>D4-C4</f>
        <v>-590832.9285262404</v>
      </c>
      <c r="G4" s="22">
        <f>D4/C4-1</f>
        <v>-7.4507581728544436E-2</v>
      </c>
      <c r="H4" s="21">
        <f>E4-C4</f>
        <v>-653557.77864647005</v>
      </c>
      <c r="I4" s="22">
        <f>E4/C4-1</f>
        <v>-8.2417562149576629E-2</v>
      </c>
      <c r="J4" s="21">
        <f>E4-D4</f>
        <v>-62724.850120229647</v>
      </c>
      <c r="K4" s="22">
        <f>E4/D4-1</f>
        <v>-8.5467803569971856E-3</v>
      </c>
      <c r="L4" s="29">
        <f>HYPERLINK("[N Only Old retention.xlsx]'Coastal N Reductions'!D50", 135.63674306634)</f>
        <v>135.63674306633999</v>
      </c>
      <c r="M4" s="29">
        <f>HYPERLINK("[N Only New retention.xlsx]'Coastal N Reductions'!D50", 135.636395960268)</f>
        <v>135.636395960268</v>
      </c>
      <c r="N4" s="29">
        <f>HYPERLINK("[N Only with New retention and Differentiation.xlsx]'Coastal N Reductions'!D50", 135.635276861577)</f>
        <v>135.63527686157701</v>
      </c>
    </row>
    <row r="5" spans="1:14" x14ac:dyDescent="0.55000000000000004">
      <c r="A5" s="30">
        <v>6</v>
      </c>
      <c r="B5" s="6" t="s">
        <v>156</v>
      </c>
      <c r="C5" s="18"/>
      <c r="D5" s="18"/>
      <c r="E5" s="18"/>
      <c r="F5" s="13"/>
      <c r="G5" s="18"/>
      <c r="H5" s="13"/>
      <c r="I5" s="18"/>
      <c r="J5" s="13"/>
      <c r="K5" s="18"/>
      <c r="L5" s="18"/>
      <c r="M5" s="18"/>
      <c r="N5" s="18"/>
    </row>
    <row r="6" spans="1:14" x14ac:dyDescent="0.55000000000000004">
      <c r="A6" s="31">
        <v>16</v>
      </c>
      <c r="B6" s="5" t="s">
        <v>157</v>
      </c>
      <c r="C6" s="28">
        <f>HYPERLINK("[N Only Old retention.xlsx]'Coastal N Reductions'!C45", 721.332912849486)</f>
        <v>721.33291284948598</v>
      </c>
      <c r="D6" s="28">
        <f>HYPERLINK("[N Only New retention.xlsx]'Coastal N Reductions'!C45", 971.661117593016)</f>
        <v>971.661117593016</v>
      </c>
      <c r="E6" s="28">
        <f>HYPERLINK("[N Only with New retention and Differentiation.xlsx]'Coastal N Reductions'!C45", 866.951501211639)</f>
        <v>866.95150121163897</v>
      </c>
      <c r="F6" s="16">
        <f>D6-C6</f>
        <v>250.32820474353002</v>
      </c>
      <c r="G6" s="17">
        <f>D6/C6-1</f>
        <v>0.34703560628428409</v>
      </c>
      <c r="H6" s="16">
        <f>E6-C6</f>
        <v>145.61858836215299</v>
      </c>
      <c r="I6" s="17">
        <f>E6/C6-1</f>
        <v>0.20187431596170335</v>
      </c>
      <c r="J6" s="21">
        <f>E6-D6</f>
        <v>-104.70961638137703</v>
      </c>
      <c r="K6" s="22">
        <f>E6/D6-1</f>
        <v>-0.10776351393041439</v>
      </c>
      <c r="L6" s="29">
        <f>HYPERLINK("[N Only Old retention.xlsx]'Coastal N Reductions'!D45", 0.05156814)</f>
        <v>5.1568139999999998E-2</v>
      </c>
      <c r="M6" s="29">
        <f>HYPERLINK("[N Only New retention.xlsx]'Coastal N Reductions'!D45", 0.0546984198487826)</f>
        <v>5.4698419848782598E-2</v>
      </c>
      <c r="N6" s="29">
        <f>HYPERLINK("[N Only with New retention and Differentiation.xlsx]'Coastal N Reductions'!D45", 0.0498801097287068)</f>
        <v>4.9880109728706802E-2</v>
      </c>
    </row>
    <row r="7" spans="1:14" x14ac:dyDescent="0.55000000000000004">
      <c r="A7" s="30">
        <v>17</v>
      </c>
      <c r="B7" s="6" t="s">
        <v>158</v>
      </c>
      <c r="C7" s="26">
        <f>HYPERLINK("[N Only Old retention.xlsx]'Coastal N Reductions'!C48", 1042191.16078268)</f>
        <v>1042191.16078268</v>
      </c>
      <c r="D7" s="26">
        <f>HYPERLINK("[N Only New retention.xlsx]'Coastal N Reductions'!C48", 1137299.46117434)</f>
        <v>1137299.46117434</v>
      </c>
      <c r="E7" s="26">
        <f>HYPERLINK("[N Only with New retention and Differentiation.xlsx]'Coastal N Reductions'!C48", 1124341.98776251)</f>
        <v>1124341.9877625101</v>
      </c>
      <c r="F7" s="16">
        <f>D7-C7</f>
        <v>95108.300391659955</v>
      </c>
      <c r="G7" s="17">
        <f>D7/C7-1</f>
        <v>9.1258018653923356E-2</v>
      </c>
      <c r="H7" s="16">
        <f>E7-C7</f>
        <v>82150.826979830046</v>
      </c>
      <c r="I7" s="17">
        <f>E7/C7-1</f>
        <v>7.8825104329358631E-2</v>
      </c>
      <c r="J7" s="21">
        <f>E7-D7</f>
        <v>-12957.473411829909</v>
      </c>
      <c r="K7" s="22">
        <f>E7/D7-1</f>
        <v>-1.1393194012815577E-2</v>
      </c>
      <c r="L7" s="27">
        <f>HYPERLINK("[N Only Old retention.xlsx]'Coastal N Reductions'!D48", 31.8359745167828)</f>
        <v>31.835974516782802</v>
      </c>
      <c r="M7" s="27">
        <f>HYPERLINK("[N Only New retention.xlsx]'Coastal N Reductions'!D48", 31.9335623994655)</f>
        <v>31.933562399465501</v>
      </c>
      <c r="N7" s="27">
        <f>HYPERLINK("[N Only with New retention and Differentiation.xlsx]'Coastal N Reductions'!D48", 31.8121817239433)</f>
        <v>31.812181723943301</v>
      </c>
    </row>
    <row r="8" spans="1:14" x14ac:dyDescent="0.55000000000000004">
      <c r="A8" s="31">
        <v>18</v>
      </c>
      <c r="B8" s="5" t="s">
        <v>159</v>
      </c>
      <c r="C8" s="28">
        <f>HYPERLINK("[N Only Old retention.xlsx]'Coastal N Reductions'!C49", 31530.3400637872)</f>
        <v>31530.3400637872</v>
      </c>
      <c r="D8" s="28">
        <f>HYPERLINK("[N Only New retention.xlsx]'Coastal N Reductions'!C49", 32125.0625575715)</f>
        <v>32125.062557571498</v>
      </c>
      <c r="E8" s="28">
        <f>HYPERLINK("[N Only with New retention and Differentiation.xlsx]'Coastal N Reductions'!C49", 32125.0625575715)</f>
        <v>32125.062557571498</v>
      </c>
      <c r="F8" s="16">
        <f>D8-C8</f>
        <v>594.72249378429842</v>
      </c>
      <c r="G8" s="17">
        <f>D8/C8-1</f>
        <v>1.8861911815132748E-2</v>
      </c>
      <c r="H8" s="16">
        <f>E8-C8</f>
        <v>594.72249378429842</v>
      </c>
      <c r="I8" s="17">
        <f>E8/C8-1</f>
        <v>1.8861911815132748E-2</v>
      </c>
      <c r="J8" s="13"/>
      <c r="K8" s="13"/>
      <c r="L8" s="29">
        <f>HYPERLINK("[N Only Old retention.xlsx]'Coastal N Reductions'!D49", 1.876937256)</f>
        <v>1.8769372559999999</v>
      </c>
      <c r="M8" s="29">
        <f>HYPERLINK("[N Only New retention.xlsx]'Coastal N Reductions'!D49", 1.74397220415042)</f>
        <v>1.74397220415042</v>
      </c>
      <c r="N8" s="29">
        <f>HYPERLINK("[N Only with New retention and Differentiation.xlsx]'Coastal N Reductions'!D49", 1.74397220415042)</f>
        <v>1.74397220415042</v>
      </c>
    </row>
    <row r="9" spans="1:14" x14ac:dyDescent="0.55000000000000004">
      <c r="A9" s="30">
        <v>24</v>
      </c>
      <c r="B9" s="6" t="s">
        <v>160</v>
      </c>
      <c r="C9" s="26">
        <f>HYPERLINK("[N Only Old retention.xlsx]'Coastal N Reductions'!C75", 2753771.10074541)</f>
        <v>2753771.1007454102</v>
      </c>
      <c r="D9" s="26">
        <f>HYPERLINK("[N Only New retention.xlsx]'Coastal N Reductions'!C75", 2278039.02566565)</f>
        <v>2278039.0256656501</v>
      </c>
      <c r="E9" s="26">
        <f>HYPERLINK("[N Only with New retention and Differentiation.xlsx]'Coastal N Reductions'!C75", 2175114.64586517)</f>
        <v>2175114.6458651698</v>
      </c>
      <c r="F9" s="21">
        <f>D9-C9</f>
        <v>-475732.07507976005</v>
      </c>
      <c r="G9" s="22">
        <f>D9/C9-1</f>
        <v>-0.17275657913287912</v>
      </c>
      <c r="H9" s="21">
        <f>E9-C9</f>
        <v>-578656.45488024037</v>
      </c>
      <c r="I9" s="22">
        <f>E9/C9-1</f>
        <v>-0.21013237255761952</v>
      </c>
      <c r="J9" s="21">
        <f>E9-D9</f>
        <v>-102924.37980048032</v>
      </c>
      <c r="K9" s="22">
        <f>E9/D9-1</f>
        <v>-4.5181131069695124E-2</v>
      </c>
      <c r="L9" s="27">
        <f>HYPERLINK("[N Only Old retention.xlsx]'Coastal N Reductions'!D75", 47.131963905817)</f>
        <v>47.131963905817003</v>
      </c>
      <c r="M9" s="27">
        <f>HYPERLINK("[N Only New retention.xlsx]'Coastal N Reductions'!D75", 47.1260124163537)</f>
        <v>47.126012416353703</v>
      </c>
      <c r="N9" s="27">
        <f>HYPERLINK("[N Only with New retention and Differentiation.xlsx]'Coastal N Reductions'!D75", 47.125148749852)</f>
        <v>47.125148749852002</v>
      </c>
    </row>
    <row r="10" spans="1:14" x14ac:dyDescent="0.55000000000000004">
      <c r="A10" s="31">
        <v>25</v>
      </c>
      <c r="B10" s="5" t="s">
        <v>161</v>
      </c>
      <c r="C10" s="28">
        <f>HYPERLINK("[N Only Old retention.xlsx]'Coastal N Reductions'!C76", 159054.383836778)</f>
        <v>159054.383836778</v>
      </c>
      <c r="D10" s="28">
        <f>HYPERLINK("[N Only New retention.xlsx]'Coastal N Reductions'!C76", 169035.440214226)</f>
        <v>169035.44021422599</v>
      </c>
      <c r="E10" s="28">
        <f>HYPERLINK("[N Only with New retention and Differentiation.xlsx]'Coastal N Reductions'!C76", 167450.465214226)</f>
        <v>167450.46521422599</v>
      </c>
      <c r="F10" s="16">
        <f>D10-C10</f>
        <v>9981.0563774479961</v>
      </c>
      <c r="G10" s="17">
        <f>D10/C10-1</f>
        <v>6.2752475830471832E-2</v>
      </c>
      <c r="H10" s="16">
        <f>E10-C10</f>
        <v>8396.0813774479902</v>
      </c>
      <c r="I10" s="17">
        <f>E10/C10-1</f>
        <v>5.2787487995703763E-2</v>
      </c>
      <c r="J10" s="21">
        <f>E10-D10</f>
        <v>-1584.9750000000058</v>
      </c>
      <c r="K10" s="22">
        <f>E10/D10-1</f>
        <v>-9.3765839754745839E-3</v>
      </c>
      <c r="L10" s="29">
        <f>HYPERLINK("[N Only Old retention.xlsx]'Coastal N Reductions'!D76", 5.72682332813263)</f>
        <v>5.72682332813263</v>
      </c>
      <c r="M10" s="29">
        <f>HYPERLINK("[N Only New retention.xlsx]'Coastal N Reductions'!D76", 5.77471216637676)</f>
        <v>5.7747121663767604</v>
      </c>
      <c r="N10" s="29">
        <f>HYPERLINK("[N Only with New retention and Differentiation.xlsx]'Coastal N Reductions'!D76", 5.7250263912787)</f>
        <v>5.7250263912786998</v>
      </c>
    </row>
    <row r="11" spans="1:14" x14ac:dyDescent="0.55000000000000004">
      <c r="A11" s="30">
        <v>28</v>
      </c>
      <c r="B11" s="6" t="s">
        <v>162</v>
      </c>
      <c r="C11" s="26">
        <f>HYPERLINK("[N Only Old retention.xlsx]'Coastal N Reductions'!C77", 390008.306315065)</f>
        <v>390008.30631506501</v>
      </c>
      <c r="D11" s="26">
        <f>HYPERLINK("[N Only New retention.xlsx]'Coastal N Reductions'!C77", 501059.180682354)</f>
        <v>501059.18068235402</v>
      </c>
      <c r="E11" s="26">
        <f>HYPERLINK("[N Only with New retention and Differentiation.xlsx]'Coastal N Reductions'!C77", 490198.394186906)</f>
        <v>490198.39418690599</v>
      </c>
      <c r="F11" s="16">
        <f>D11-C11</f>
        <v>111050.87436728901</v>
      </c>
      <c r="G11" s="17">
        <f>D11/C11-1</f>
        <v>0.28473976725402728</v>
      </c>
      <c r="H11" s="16">
        <f>E11-C11</f>
        <v>100190.08787184098</v>
      </c>
      <c r="I11" s="17">
        <f>E11/C11-1</f>
        <v>0.25689218985736995</v>
      </c>
      <c r="J11" s="21">
        <f>E11-D11</f>
        <v>-10860.786495448032</v>
      </c>
      <c r="K11" s="22">
        <f>E11/D11-1</f>
        <v>-2.167565611842015E-2</v>
      </c>
      <c r="L11" s="27">
        <f>HYPERLINK("[N Only Old retention.xlsx]'Coastal N Reductions'!D77", 19.6056110538497)</f>
        <v>19.605611053849699</v>
      </c>
      <c r="M11" s="27">
        <f>HYPERLINK("[N Only New retention.xlsx]'Coastal N Reductions'!D77", 19.5937638314177)</f>
        <v>19.5937638314177</v>
      </c>
      <c r="N11" s="27">
        <f>HYPERLINK("[N Only with New retention and Differentiation.xlsx]'Coastal N Reductions'!D77", 19.5939196390123)</f>
        <v>19.593919639012299</v>
      </c>
    </row>
    <row r="12" spans="1:14" x14ac:dyDescent="0.55000000000000004">
      <c r="A12" s="31">
        <v>29</v>
      </c>
      <c r="B12" s="5" t="s">
        <v>163</v>
      </c>
      <c r="C12" s="28">
        <f>HYPERLINK("[N Only Old retention.xlsx]'Coastal N Reductions'!C78", 240130.230267027)</f>
        <v>240130.23026702699</v>
      </c>
      <c r="D12" s="28">
        <f>HYPERLINK("[N Only New retention.xlsx]'Coastal N Reductions'!C78", 307878.105568436)</f>
        <v>307878.10556843597</v>
      </c>
      <c r="E12" s="28">
        <f>HYPERLINK("[N Only with New retention and Differentiation.xlsx]'Coastal N Reductions'!C78", 307356.335319878)</f>
        <v>307356.33531987801</v>
      </c>
      <c r="F12" s="16">
        <f>D12-C12</f>
        <v>67747.875301408989</v>
      </c>
      <c r="G12" s="17">
        <f>D12/C12-1</f>
        <v>0.2821297228011348</v>
      </c>
      <c r="H12" s="16">
        <f>E12-C12</f>
        <v>67226.105052851024</v>
      </c>
      <c r="I12" s="17">
        <f>E12/C12-1</f>
        <v>0.27995685915136548</v>
      </c>
      <c r="J12" s="21">
        <f>E12-D12</f>
        <v>-521.77024855796481</v>
      </c>
      <c r="K12" s="22">
        <f>E12/D12-1</f>
        <v>-1.6947299568269569E-3</v>
      </c>
      <c r="L12" s="29">
        <f>HYPERLINK("[N Only Old retention.xlsx]'Coastal N Reductions'!D78", 10.1030608723671)</f>
        <v>10.1030608723671</v>
      </c>
      <c r="M12" s="29">
        <f>HYPERLINK("[N Only New retention.xlsx]'Coastal N Reductions'!D78", 10.1007527792421)</f>
        <v>10.1007527792421</v>
      </c>
      <c r="N12" s="29">
        <f>HYPERLINK("[N Only with New retention and Differentiation.xlsx]'Coastal N Reductions'!D78", 10.1046471500156)</f>
        <v>10.1046471500156</v>
      </c>
    </row>
    <row r="13" spans="1:14" x14ac:dyDescent="0.55000000000000004">
      <c r="A13" s="30">
        <v>34</v>
      </c>
      <c r="B13" s="6" t="s">
        <v>164</v>
      </c>
      <c r="C13" s="18"/>
      <c r="D13" s="18"/>
      <c r="E13" s="18"/>
      <c r="F13" s="13"/>
      <c r="G13" s="18"/>
      <c r="H13" s="13"/>
      <c r="I13" s="18"/>
      <c r="J13" s="13"/>
      <c r="K13" s="18"/>
      <c r="L13" s="18"/>
      <c r="M13" s="18"/>
      <c r="N13" s="18"/>
    </row>
    <row r="14" spans="1:14" x14ac:dyDescent="0.55000000000000004">
      <c r="A14" s="31">
        <v>35</v>
      </c>
      <c r="B14" s="5" t="s">
        <v>165</v>
      </c>
      <c r="C14" s="28">
        <f>HYPERLINK("[N Only Old retention.xlsx]'Coastal N Reductions'!C80", 3812351.86552034)</f>
        <v>3812351.8655203399</v>
      </c>
      <c r="D14" s="28">
        <f>HYPERLINK("[N Only New retention.xlsx]'Coastal N Reductions'!C80", 4930954.62125153)</f>
        <v>4930954.62125153</v>
      </c>
      <c r="E14" s="28">
        <f>HYPERLINK("[N Only with New retention and Differentiation.xlsx]'Coastal N Reductions'!C80", 4839038.35565553)</f>
        <v>4839038.3556555295</v>
      </c>
      <c r="F14" s="16">
        <f>D14-C14</f>
        <v>1118602.7557311901</v>
      </c>
      <c r="G14" s="17">
        <f>D14/C14-1</f>
        <v>0.29341540214271755</v>
      </c>
      <c r="H14" s="16">
        <f>E14-C14</f>
        <v>1026686.4901351896</v>
      </c>
      <c r="I14" s="17">
        <f>E14/C14-1</f>
        <v>0.26930528092664896</v>
      </c>
      <c r="J14" s="21">
        <f>E14-D14</f>
        <v>-91916.265596000478</v>
      </c>
      <c r="K14" s="22">
        <f>E14/D14-1</f>
        <v>-1.8640663452844985E-2</v>
      </c>
      <c r="L14" s="29">
        <f>HYPERLINK("[N Only Old retention.xlsx]'Coastal N Reductions'!D80", 167.580236637601)</f>
        <v>167.58023663760099</v>
      </c>
      <c r="M14" s="29">
        <f>HYPERLINK("[N Only New retention.xlsx]'Coastal N Reductions'!D80", 167.581475763005)</f>
        <v>167.58147576300499</v>
      </c>
      <c r="N14" s="29">
        <f>HYPERLINK("[N Only with New retention and Differentiation.xlsx]'Coastal N Reductions'!D80", 167.580157008168)</f>
        <v>167.58015700816799</v>
      </c>
    </row>
    <row r="15" spans="1:14" x14ac:dyDescent="0.55000000000000004">
      <c r="A15" s="30">
        <v>36</v>
      </c>
      <c r="B15" s="6" t="s">
        <v>166</v>
      </c>
      <c r="C15" s="26">
        <f>HYPERLINK("[N Only Old retention.xlsx]'Coastal N Reductions'!C81", 240488.766848471)</f>
        <v>240488.76684847099</v>
      </c>
      <c r="D15" s="26">
        <f>HYPERLINK("[N Only New retention.xlsx]'Coastal N Reductions'!C81", 296266.807992874)</f>
        <v>296266.807992874</v>
      </c>
      <c r="E15" s="26">
        <f>HYPERLINK("[N Only with New retention and Differentiation.xlsx]'Coastal N Reductions'!C81", 287514.609269902)</f>
        <v>287514.60926990199</v>
      </c>
      <c r="F15" s="16">
        <f>D15-C15</f>
        <v>55778.041144403018</v>
      </c>
      <c r="G15" s="17">
        <f>D15/C15-1</f>
        <v>0.23193616015981355</v>
      </c>
      <c r="H15" s="16">
        <f>E15-C15</f>
        <v>47025.842421431007</v>
      </c>
      <c r="I15" s="17">
        <f>E15/C15-1</f>
        <v>0.1955427816346258</v>
      </c>
      <c r="J15" s="21">
        <f>E15-D15</f>
        <v>-8752.1987229720107</v>
      </c>
      <c r="K15" s="22">
        <f>E15/D15-1</f>
        <v>-2.9541610760468684E-2</v>
      </c>
      <c r="L15" s="27">
        <f>HYPERLINK("[N Only Old retention.xlsx]'Coastal N Reductions'!D81", 13.0187596998831)</f>
        <v>13.0187596998831</v>
      </c>
      <c r="M15" s="27">
        <f>HYPERLINK("[N Only New retention.xlsx]'Coastal N Reductions'!D81", 13.0189692207197)</f>
        <v>13.018969220719701</v>
      </c>
      <c r="N15" s="27">
        <f>HYPERLINK("[N Only with New retention and Differentiation.xlsx]'Coastal N Reductions'!D81", 13.0197775511158)</f>
        <v>13.0197775511158</v>
      </c>
    </row>
    <row r="16" spans="1:14" x14ac:dyDescent="0.55000000000000004">
      <c r="A16" s="31">
        <v>37</v>
      </c>
      <c r="B16" s="5" t="s">
        <v>167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55000000000000004">
      <c r="A17" s="30">
        <v>38</v>
      </c>
      <c r="B17" s="6" t="s">
        <v>168</v>
      </c>
      <c r="C17" s="18"/>
      <c r="D17" s="18"/>
      <c r="E17" s="18"/>
      <c r="F17" s="13"/>
      <c r="G17" s="18"/>
      <c r="H17" s="13"/>
      <c r="I17" s="18"/>
      <c r="J17" s="13"/>
      <c r="K17" s="18"/>
      <c r="L17" s="18"/>
      <c r="M17" s="18"/>
      <c r="N17" s="18"/>
    </row>
    <row r="18" spans="1:14" x14ac:dyDescent="0.55000000000000004">
      <c r="A18" s="31">
        <v>44</v>
      </c>
      <c r="B18" s="5" t="s">
        <v>169</v>
      </c>
      <c r="C18" s="28">
        <f>HYPERLINK("[N Only Old retention.xlsx]'Coastal N Reductions'!C84", 2308052.75635284)</f>
        <v>2308052.75635284</v>
      </c>
      <c r="D18" s="28">
        <f>HYPERLINK("[N Only New retention.xlsx]'Coastal N Reductions'!C84", 3048061.61611175)</f>
        <v>3048061.6161117498</v>
      </c>
      <c r="E18" s="28">
        <f>HYPERLINK("[N Only with New retention and Differentiation.xlsx]'Coastal N Reductions'!C84", 3047626.38729762)</f>
        <v>3047626.3872976201</v>
      </c>
      <c r="F18" s="16">
        <f>D18-C18</f>
        <v>740008.85975890979</v>
      </c>
      <c r="G18" s="17">
        <f>D18/C18-1</f>
        <v>0.32062042677406732</v>
      </c>
      <c r="H18" s="16">
        <f>E18-C18</f>
        <v>739573.63094478007</v>
      </c>
      <c r="I18" s="17">
        <f>E18/C18-1</f>
        <v>0.32043185707481237</v>
      </c>
      <c r="J18" s="21">
        <f>E18-D18</f>
        <v>-435.22881412971765</v>
      </c>
      <c r="K18" s="22">
        <f>E18/D18-1</f>
        <v>-1.4278871917450253E-4</v>
      </c>
      <c r="L18" s="29">
        <f>HYPERLINK("[N Only Old retention.xlsx]'Coastal N Reductions'!D84", 34.5545275009232)</f>
        <v>34.5545275009232</v>
      </c>
      <c r="M18" s="29">
        <f>HYPERLINK("[N Only New retention.xlsx]'Coastal N Reductions'!D84", 34.5532831866622)</f>
        <v>34.553283186662199</v>
      </c>
      <c r="N18" s="29">
        <f>HYPERLINK("[N Only with New retention and Differentiation.xlsx]'Coastal N Reductions'!D84", 34.553620071636)</f>
        <v>34.553620071635997</v>
      </c>
    </row>
    <row r="19" spans="1:14" x14ac:dyDescent="0.55000000000000004">
      <c r="A19" s="30">
        <v>45</v>
      </c>
      <c r="B19" s="6" t="s">
        <v>170</v>
      </c>
      <c r="C19" s="26">
        <f>HYPERLINK("[N Only Old retention.xlsx]'Coastal N Reductions'!C85", 12478890.8214652)</f>
        <v>12478890.8214652</v>
      </c>
      <c r="D19" s="26">
        <f>HYPERLINK("[N Only New retention.xlsx]'Coastal N Reductions'!C85", 15159155.8565168)</f>
        <v>15159155.856516801</v>
      </c>
      <c r="E19" s="26">
        <f>HYPERLINK("[N Only with New retention and Differentiation.xlsx]'Coastal N Reductions'!C85", 15144499.1033452)</f>
        <v>15144499.1033452</v>
      </c>
      <c r="F19" s="16">
        <f>D19-C19</f>
        <v>2680265.035051601</v>
      </c>
      <c r="G19" s="17">
        <f>D19/C19-1</f>
        <v>0.21478391576607292</v>
      </c>
      <c r="H19" s="16">
        <f>E19-C19</f>
        <v>2665608.2818800006</v>
      </c>
      <c r="I19" s="17">
        <f>E19/C19-1</f>
        <v>0.21360939205388618</v>
      </c>
      <c r="J19" s="21">
        <f>E19-D19</f>
        <v>-14656.753171600401</v>
      </c>
      <c r="K19" s="22">
        <f>E19/D19-1</f>
        <v>-9.6685813579122648E-4</v>
      </c>
      <c r="L19" s="27">
        <f>HYPERLINK("[N Only Old retention.xlsx]'Coastal N Reductions'!D85", 132.970524943421)</f>
        <v>132.970524943421</v>
      </c>
      <c r="M19" s="27">
        <f>HYPERLINK("[N Only New retention.xlsx]'Coastal N Reductions'!D85", 132.96965125283)</f>
        <v>132.96965125283</v>
      </c>
      <c r="N19" s="27">
        <f>HYPERLINK("[N Only with New retention and Differentiation.xlsx]'Coastal N Reductions'!D85", 132.969533798206)</f>
        <v>132.96953379820599</v>
      </c>
    </row>
    <row r="20" spans="1:14" x14ac:dyDescent="0.55000000000000004">
      <c r="A20" s="31">
        <v>46</v>
      </c>
      <c r="B20" s="5" t="s">
        <v>171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55000000000000004">
      <c r="A21" s="30">
        <v>47</v>
      </c>
      <c r="B21" s="6" t="s">
        <v>172</v>
      </c>
      <c r="C21" s="26">
        <f>HYPERLINK("[N Only Old retention.xlsx]'Coastal N Reductions'!C87", 6322796.22546111)</f>
        <v>6322796.2254611095</v>
      </c>
      <c r="D21" s="26">
        <f>HYPERLINK("[N Only New retention.xlsx]'Coastal N Reductions'!C87", 8413231.27778649)</f>
        <v>8413231.2777864896</v>
      </c>
      <c r="E21" s="26">
        <f>HYPERLINK("[N Only with New retention and Differentiation.xlsx]'Coastal N Reductions'!C87", 8401571.9208672)</f>
        <v>8401571.9208671991</v>
      </c>
      <c r="F21" s="16">
        <f>D21-C21</f>
        <v>2090435.05232538</v>
      </c>
      <c r="G21" s="17">
        <f>D21/C21-1</f>
        <v>0.33061876071657337</v>
      </c>
      <c r="H21" s="16">
        <f>E21-C21</f>
        <v>2078775.6954060895</v>
      </c>
      <c r="I21" s="17">
        <f>E21/C21-1</f>
        <v>0.32877474163015408</v>
      </c>
      <c r="J21" s="21">
        <f>E21-D21</f>
        <v>-11659.356919290498</v>
      </c>
      <c r="K21" s="22">
        <f>E21/D21-1</f>
        <v>-1.3858357787066566E-3</v>
      </c>
      <c r="L21" s="27">
        <f>HYPERLINK("[N Only Old retention.xlsx]'Coastal N Reductions'!D87", 116.916487482906)</f>
        <v>116.91648748290601</v>
      </c>
      <c r="M21" s="27">
        <f>HYPERLINK("[N Only New retention.xlsx]'Coastal N Reductions'!D87", 116.913236103879)</f>
        <v>116.913236103879</v>
      </c>
      <c r="N21" s="27">
        <f>HYPERLINK("[N Only with New retention and Differentiation.xlsx]'Coastal N Reductions'!D87", 116.908372942943)</f>
        <v>116.908372942943</v>
      </c>
    </row>
    <row r="22" spans="1:14" x14ac:dyDescent="0.55000000000000004">
      <c r="A22" s="31">
        <v>48</v>
      </c>
      <c r="B22" s="5" t="s">
        <v>173</v>
      </c>
      <c r="C22" s="28">
        <f>HYPERLINK("[N Only Old retention.xlsx]'Coastal N Reductions'!C88", 1716919.15633342)</f>
        <v>1716919.15633342</v>
      </c>
      <c r="D22" s="28">
        <f>HYPERLINK("[N Only New retention.xlsx]'Coastal N Reductions'!C88", 2236646.71236017)</f>
        <v>2236646.7123601702</v>
      </c>
      <c r="E22" s="28">
        <f>HYPERLINK("[N Only with New retention and Differentiation.xlsx]'Coastal N Reductions'!C88", 2236646.71236017)</f>
        <v>2236646.7123601702</v>
      </c>
      <c r="F22" s="16">
        <f>D22-C22</f>
        <v>519727.55602675024</v>
      </c>
      <c r="G22" s="17">
        <f>D22/C22-1</f>
        <v>0.30270939322306734</v>
      </c>
      <c r="H22" s="16">
        <f>E22-C22</f>
        <v>519727.55602675024</v>
      </c>
      <c r="I22" s="17">
        <f>E22/C22-1</f>
        <v>0.30270939322306734</v>
      </c>
      <c r="J22" s="13"/>
      <c r="K22" s="13"/>
      <c r="L22" s="29">
        <f>HYPERLINK("[N Only Old retention.xlsx]'Coastal N Reductions'!D88", 51.4544588466485)</f>
        <v>51.4544588466485</v>
      </c>
      <c r="M22" s="29">
        <f>HYPERLINK("[N Only New retention.xlsx]'Coastal N Reductions'!D88", 51.4514844315794)</f>
        <v>51.451484431579402</v>
      </c>
      <c r="N22" s="29">
        <f>HYPERLINK("[N Only with New retention and Differentiation.xlsx]'Coastal N Reductions'!D88", 51.4514844315794)</f>
        <v>51.451484431579402</v>
      </c>
    </row>
    <row r="23" spans="1:14" x14ac:dyDescent="0.55000000000000004">
      <c r="A23" s="30">
        <v>49</v>
      </c>
      <c r="B23" s="6" t="s">
        <v>174</v>
      </c>
      <c r="C23" s="26">
        <f>HYPERLINK("[N Only Old retention.xlsx]'Coastal N Reductions'!C89", 3167496.10848508)</f>
        <v>3167496.1084850798</v>
      </c>
      <c r="D23" s="26">
        <f>HYPERLINK("[N Only New retention.xlsx]'Coastal N Reductions'!C89", 3165647.63511519)</f>
        <v>3165647.6351151899</v>
      </c>
      <c r="E23" s="26">
        <f>HYPERLINK("[N Only with New retention and Differentiation.xlsx]'Coastal N Reductions'!C89", 3315644.02998212)</f>
        <v>3315644.0299821198</v>
      </c>
      <c r="F23" s="21">
        <f>D23-C23</f>
        <v>-1848.4733698898926</v>
      </c>
      <c r="G23" s="22">
        <f>D23/C23-1</f>
        <v>-5.8357557723220932E-4</v>
      </c>
      <c r="H23" s="16">
        <f>E23-C23</f>
        <v>148147.92149703996</v>
      </c>
      <c r="I23" s="17">
        <f>E23/C23-1</f>
        <v>4.6771303396452968E-2</v>
      </c>
      <c r="J23" s="16">
        <f>E23-D23</f>
        <v>149996.39486692986</v>
      </c>
      <c r="K23" s="17">
        <f>E23/D23-1</f>
        <v>4.7382530261133038E-2</v>
      </c>
      <c r="L23" s="27">
        <f>HYPERLINK("[N Only Old retention.xlsx]'Coastal N Reductions'!D89", 17.68446208982)</f>
        <v>17.684462089819998</v>
      </c>
      <c r="M23" s="27">
        <f>HYPERLINK("[N Only New retention.xlsx]'Coastal N Reductions'!D89", 15.4523993225137)</f>
        <v>15.452399322513701</v>
      </c>
      <c r="N23" s="27">
        <f>HYPERLINK("[N Only with New retention and Differentiation.xlsx]'Coastal N Reductions'!D89", 15.5527930764916)</f>
        <v>15.5527930764916</v>
      </c>
    </row>
    <row r="24" spans="1:14" x14ac:dyDescent="0.55000000000000004">
      <c r="A24" s="31">
        <v>56</v>
      </c>
      <c r="B24" s="5" t="s">
        <v>175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55000000000000004">
      <c r="A25" s="30">
        <v>57</v>
      </c>
      <c r="B25" s="6" t="s">
        <v>176</v>
      </c>
      <c r="C25" s="18"/>
      <c r="D25" s="18"/>
      <c r="E25" s="18"/>
      <c r="F25" s="13"/>
      <c r="G25" s="18"/>
      <c r="H25" s="13"/>
      <c r="I25" s="18"/>
      <c r="J25" s="13"/>
      <c r="K25" s="18"/>
      <c r="L25" s="18"/>
      <c r="M25" s="18"/>
      <c r="N25" s="18"/>
    </row>
    <row r="26" spans="1:14" x14ac:dyDescent="0.55000000000000004">
      <c r="A26" s="31">
        <v>59</v>
      </c>
      <c r="B26" s="5" t="s">
        <v>177</v>
      </c>
      <c r="C26" s="28">
        <f>HYPERLINK("[N Only Old retention.xlsx]'Coastal N Reductions'!C92", 2892691.82961536)</f>
        <v>2892691.8296153601</v>
      </c>
      <c r="D26" s="28">
        <f>HYPERLINK("[N Only New retention.xlsx]'Coastal N Reductions'!C92", 2445161.45313907)</f>
        <v>2445161.45313907</v>
      </c>
      <c r="E26" s="28">
        <f>HYPERLINK("[N Only with New retention and Differentiation.xlsx]'Coastal N Reductions'!C92", 2448928.29349923)</f>
        <v>2448928.2934992299</v>
      </c>
      <c r="F26" s="21">
        <f>D26-C26</f>
        <v>-447530.37647629017</v>
      </c>
      <c r="G26" s="22">
        <f>D26/C26-1</f>
        <v>-0.1547106995271591</v>
      </c>
      <c r="H26" s="21">
        <f>E26-C26</f>
        <v>-443763.53611613018</v>
      </c>
      <c r="I26" s="22">
        <f>E26/C26-1</f>
        <v>-0.15340850745761503</v>
      </c>
      <c r="J26" s="16">
        <f>E26-D26</f>
        <v>3766.8403601599857</v>
      </c>
      <c r="K26" s="17">
        <f>E26/D26-1</f>
        <v>1.5405282769054285E-3</v>
      </c>
      <c r="L26" s="29">
        <f>HYPERLINK("[N Only Old retention.xlsx]'Coastal N Reductions'!D92", 65.320977106046)</f>
        <v>65.320977106046001</v>
      </c>
      <c r="M26" s="29">
        <f>HYPERLINK("[N Only New retention.xlsx]'Coastal N Reductions'!D92", 65.3107880666284)</f>
        <v>65.310788066628405</v>
      </c>
      <c r="N26" s="29">
        <f>HYPERLINK("[N Only with New retention and Differentiation.xlsx]'Coastal N Reductions'!D92", 65.3860895125227)</f>
        <v>65.386089512522702</v>
      </c>
    </row>
    <row r="27" spans="1:14" x14ac:dyDescent="0.55000000000000004">
      <c r="A27" s="30">
        <v>62</v>
      </c>
      <c r="B27" s="6" t="s">
        <v>178</v>
      </c>
      <c r="C27" s="26">
        <f>HYPERLINK("[N Only Old retention.xlsx]'Coastal N Reductions'!C94", 54692.9039371591)</f>
        <v>54692.903937159099</v>
      </c>
      <c r="D27" s="26">
        <f>HYPERLINK("[N Only New retention.xlsx]'Coastal N Reductions'!C94", 38268.9936344659)</f>
        <v>38268.9936344659</v>
      </c>
      <c r="E27" s="26">
        <f>HYPERLINK("[N Only with New retention and Differentiation.xlsx]'Coastal N Reductions'!C94", 38268.9936344659)</f>
        <v>38268.9936344659</v>
      </c>
      <c r="F27" s="21">
        <f>D27-C27</f>
        <v>-16423.910302693199</v>
      </c>
      <c r="G27" s="22">
        <f>D27/C27-1</f>
        <v>-0.30029325781574701</v>
      </c>
      <c r="H27" s="21">
        <f>E27-C27</f>
        <v>-16423.910302693199</v>
      </c>
      <c r="I27" s="22">
        <f>E27/C27-1</f>
        <v>-0.30029325781574701</v>
      </c>
      <c r="J27" s="13"/>
      <c r="K27" s="18"/>
      <c r="L27" s="27">
        <f>HYPERLINK("[N Only Old retention.xlsx]'Coastal N Reductions'!D94", 2.63653799302)</f>
        <v>2.6365379930200001</v>
      </c>
      <c r="M27" s="27">
        <f>HYPERLINK("[N Only New retention.xlsx]'Coastal N Reductions'!D94", 2.63777942273934)</f>
        <v>2.6377794227393401</v>
      </c>
      <c r="N27" s="27">
        <f>HYPERLINK("[N Only with New retention and Differentiation.xlsx]'Coastal N Reductions'!D94", 2.63777942273934)</f>
        <v>2.6377794227393401</v>
      </c>
    </row>
    <row r="28" spans="1:14" x14ac:dyDescent="0.55000000000000004">
      <c r="A28" s="31">
        <v>68</v>
      </c>
      <c r="B28" s="5" t="s">
        <v>179</v>
      </c>
      <c r="C28" s="28">
        <f>HYPERLINK("[N Only Old retention.xlsx]'Coastal N Reductions'!C95", 1207474.32635853)</f>
        <v>1207474.32635853</v>
      </c>
      <c r="D28" s="28">
        <f>HYPERLINK("[N Only New retention.xlsx]'Coastal N Reductions'!C95", 879072.201672992)</f>
        <v>879072.20167299197</v>
      </c>
      <c r="E28" s="28">
        <f>HYPERLINK("[N Only with New retention and Differentiation.xlsx]'Coastal N Reductions'!C95", 873867.528688015)</f>
        <v>873867.52868801495</v>
      </c>
      <c r="F28" s="21">
        <f>D28-C28</f>
        <v>-328402.124685538</v>
      </c>
      <c r="G28" s="22">
        <f>D28/C28-1</f>
        <v>-0.27197441594963323</v>
      </c>
      <c r="H28" s="21">
        <f>E28-C28</f>
        <v>-333606.79767051502</v>
      </c>
      <c r="I28" s="22">
        <f>E28/C28-1</f>
        <v>-0.27628479578244769</v>
      </c>
      <c r="J28" s="21">
        <f>E28-D28</f>
        <v>-5204.67298497702</v>
      </c>
      <c r="K28" s="22">
        <f>E28/D28-1</f>
        <v>-5.9206433499681133E-3</v>
      </c>
      <c r="L28" s="29">
        <f>HYPERLINK("[N Only Old retention.xlsx]'Coastal N Reductions'!D95", 16.7987837391492)</f>
        <v>16.798783739149201</v>
      </c>
      <c r="M28" s="29">
        <f>HYPERLINK("[N Only New retention.xlsx]'Coastal N Reductions'!D95", 16.8455808212991)</f>
        <v>16.845580821299102</v>
      </c>
      <c r="N28" s="29">
        <f>HYPERLINK("[N Only with New retention and Differentiation.xlsx]'Coastal N Reductions'!D95", 16.798798815058)</f>
        <v>16.798798815057999</v>
      </c>
    </row>
    <row r="29" spans="1:14" x14ac:dyDescent="0.55000000000000004">
      <c r="A29" s="30">
        <v>72</v>
      </c>
      <c r="B29" s="6" t="s">
        <v>180</v>
      </c>
      <c r="C29" s="26">
        <f>HYPERLINK("[N Only Old retention.xlsx]'Coastal N Reductions'!C96", 1051663.51941544)</f>
        <v>1051663.51941544</v>
      </c>
      <c r="D29" s="26">
        <f>HYPERLINK("[N Only New retention.xlsx]'Coastal N Reductions'!C96", 1309703.30587528)</f>
        <v>1309703.3058752799</v>
      </c>
      <c r="E29" s="26">
        <f>HYPERLINK("[N Only with New retention and Differentiation.xlsx]'Coastal N Reductions'!C96", 1327460.19132913)</f>
        <v>1327460.19132913</v>
      </c>
      <c r="F29" s="16">
        <f>D29-C29</f>
        <v>258039.7864598399</v>
      </c>
      <c r="G29" s="17">
        <f>D29/C29-1</f>
        <v>0.24536344723954051</v>
      </c>
      <c r="H29" s="16">
        <f>E29-C29</f>
        <v>275796.67191368993</v>
      </c>
      <c r="I29" s="17">
        <f>E29/C29-1</f>
        <v>0.26224801642543394</v>
      </c>
      <c r="J29" s="16">
        <f>E29-D29</f>
        <v>17756.885453850031</v>
      </c>
      <c r="K29" s="17">
        <f>E29/D29-1</f>
        <v>1.3557945050755693E-2</v>
      </c>
      <c r="L29" s="27">
        <f>HYPERLINK("[N Only Old retention.xlsx]'Coastal N Reductions'!D96", 13.455332305979)</f>
        <v>13.455332305979001</v>
      </c>
      <c r="M29" s="27">
        <f>HYPERLINK("[N Only New retention.xlsx]'Coastal N Reductions'!D96", 13.4598167215616)</f>
        <v>13.4598167215616</v>
      </c>
      <c r="N29" s="27">
        <f>HYPERLINK("[N Only with New retention and Differentiation.xlsx]'Coastal N Reductions'!D96", 13.4961730250173)</f>
        <v>13.496173025017301</v>
      </c>
    </row>
    <row r="30" spans="1:14" x14ac:dyDescent="0.55000000000000004">
      <c r="A30" s="31">
        <v>74</v>
      </c>
      <c r="B30" s="5" t="s">
        <v>181</v>
      </c>
      <c r="C30" s="28">
        <f>HYPERLINK("[N Only Old retention.xlsx]'Coastal N Reductions'!C97", 3074837.20773828)</f>
        <v>3074837.2077382798</v>
      </c>
      <c r="D30" s="28">
        <f>HYPERLINK("[N Only New retention.xlsx]'Coastal N Reductions'!C97", 4081543.55025981)</f>
        <v>4081543.5502598099</v>
      </c>
      <c r="E30" s="28">
        <f>HYPERLINK("[N Only with New retention and Differentiation.xlsx]'Coastal N Reductions'!C97", 4078455.29099102)</f>
        <v>4078455.2909910199</v>
      </c>
      <c r="F30" s="16">
        <f>D30-C30</f>
        <v>1006706.3425215301</v>
      </c>
      <c r="G30" s="17">
        <f>D30/C30-1</f>
        <v>0.32740150925323963</v>
      </c>
      <c r="H30" s="16">
        <f>E30-C30</f>
        <v>1003618.0832527401</v>
      </c>
      <c r="I30" s="17">
        <f>E30/C30-1</f>
        <v>0.32639714412424436</v>
      </c>
      <c r="J30" s="21">
        <f>E30-D30</f>
        <v>-3088.2592687900178</v>
      </c>
      <c r="K30" s="22">
        <f>E30/D30-1</f>
        <v>-7.5664003844655436E-4</v>
      </c>
      <c r="L30" s="29">
        <f>HYPERLINK("[N Only Old retention.xlsx]'Coastal N Reductions'!D97", 56.6676918875029)</f>
        <v>56.667691887502897</v>
      </c>
      <c r="M30" s="29">
        <f>HYPERLINK("[N Only New retention.xlsx]'Coastal N Reductions'!D97", 56.6512904493445)</f>
        <v>56.651290449344501</v>
      </c>
      <c r="N30" s="29">
        <f>HYPERLINK("[N Only with New retention and Differentiation.xlsx]'Coastal N Reductions'!D97", 56.6508653109353)</f>
        <v>56.650865310935302</v>
      </c>
    </row>
    <row r="31" spans="1:14" x14ac:dyDescent="0.55000000000000004">
      <c r="A31" s="30">
        <v>80</v>
      </c>
      <c r="B31" s="6" t="s">
        <v>182</v>
      </c>
      <c r="C31" s="26">
        <f>HYPERLINK("[N Only Old retention.xlsx]'Coastal N Reductions'!C98", 6199575.5638683)</f>
        <v>6199575.5638683001</v>
      </c>
      <c r="D31" s="26">
        <f>HYPERLINK("[N Only New retention.xlsx]'Coastal N Reductions'!C98", 7836250.21966438)</f>
        <v>7836250.21966438</v>
      </c>
      <c r="E31" s="26">
        <f>HYPERLINK("[N Only with New retention and Differentiation.xlsx]'Coastal N Reductions'!C98", 7833202.09724403)</f>
        <v>7833202.0972440299</v>
      </c>
      <c r="F31" s="16">
        <f>D31-C31</f>
        <v>1636674.6557960799</v>
      </c>
      <c r="G31" s="17">
        <f>D31/C31-1</f>
        <v>0.26399785581044788</v>
      </c>
      <c r="H31" s="16">
        <f>E31-C31</f>
        <v>1633626.5333757298</v>
      </c>
      <c r="I31" s="17">
        <f>E31/C31-1</f>
        <v>0.26350618950378735</v>
      </c>
      <c r="J31" s="21">
        <f>E31-D31</f>
        <v>-3048.1224203500897</v>
      </c>
      <c r="K31" s="22">
        <f>E31/D31-1</f>
        <v>-3.8897716827634987E-4</v>
      </c>
      <c r="L31" s="27">
        <f>HYPERLINK("[N Only Old retention.xlsx]'Coastal N Reductions'!D98", 59.207567225277)</f>
        <v>59.207567225277003</v>
      </c>
      <c r="M31" s="27">
        <f>HYPERLINK("[N Only New retention.xlsx]'Coastal N Reductions'!D98", 59.2077932859238)</f>
        <v>59.207793285923799</v>
      </c>
      <c r="N31" s="27">
        <f>HYPERLINK("[N Only with New retention and Differentiation.xlsx]'Coastal N Reductions'!D98", 59.207514678543)</f>
        <v>59.207514678542999</v>
      </c>
    </row>
    <row r="32" spans="1:14" x14ac:dyDescent="0.55000000000000004">
      <c r="A32" s="31">
        <v>82</v>
      </c>
      <c r="B32" s="5" t="s">
        <v>183</v>
      </c>
      <c r="C32" s="28">
        <f>HYPERLINK("[N Only Old retention.xlsx]'Coastal N Reductions'!C99", 7106325.46094042)</f>
        <v>7106325.4609404197</v>
      </c>
      <c r="D32" s="28">
        <f>HYPERLINK("[N Only New retention.xlsx]'Coastal N Reductions'!C99", 7254090.24687284)</f>
        <v>7254090.2468728404</v>
      </c>
      <c r="E32" s="28">
        <f>HYPERLINK("[N Only with New retention and Differentiation.xlsx]'Coastal N Reductions'!C99", 7257701.77732126)</f>
        <v>7257701.7773212604</v>
      </c>
      <c r="F32" s="16">
        <f>D32-C32</f>
        <v>147764.78593242075</v>
      </c>
      <c r="G32" s="17">
        <f>D32/C32-1</f>
        <v>2.079341661799794E-2</v>
      </c>
      <c r="H32" s="16">
        <f>E32-C32</f>
        <v>151376.31638084073</v>
      </c>
      <c r="I32" s="17">
        <f>E32/C32-1</f>
        <v>2.1301630105864611E-2</v>
      </c>
      <c r="J32" s="16">
        <f>E32-D32</f>
        <v>3611.5304484199733</v>
      </c>
      <c r="K32" s="17">
        <f>E32/D32-1</f>
        <v>4.9786125144724025E-4</v>
      </c>
      <c r="L32" s="29">
        <f>HYPERLINK("[N Only Old retention.xlsx]'Coastal N Reductions'!D99", 85.8035153320095)</f>
        <v>85.803515332009496</v>
      </c>
      <c r="M32" s="29">
        <f>HYPERLINK("[N Only New retention.xlsx]'Coastal N Reductions'!D99", 85.7652719956551)</f>
        <v>85.765271995655098</v>
      </c>
      <c r="N32" s="29">
        <f>HYPERLINK("[N Only with New retention and Differentiation.xlsx]'Coastal N Reductions'!D99", 85.7929900738931)</f>
        <v>85.792990073893094</v>
      </c>
    </row>
    <row r="33" spans="1:14" x14ac:dyDescent="0.55000000000000004">
      <c r="A33" s="30">
        <v>83</v>
      </c>
      <c r="B33" s="6" t="s">
        <v>184</v>
      </c>
      <c r="C33" s="26">
        <f>HYPERLINK("[N Only Old retention.xlsx]'Coastal N Reductions'!C100", 7083589.41551615)</f>
        <v>7083589.4155161502</v>
      </c>
      <c r="D33" s="26">
        <f>HYPERLINK("[N Only New retention.xlsx]'Coastal N Reductions'!C100", 7136637.17345076)</f>
        <v>7136637.1734507596</v>
      </c>
      <c r="E33" s="26">
        <f>HYPERLINK("[N Only with New retention and Differentiation.xlsx]'Coastal N Reductions'!C100", 7084478.07960941)</f>
        <v>7084478.0796094099</v>
      </c>
      <c r="F33" s="16">
        <f>D33-C33</f>
        <v>53047.757934609428</v>
      </c>
      <c r="G33" s="17">
        <f>D33/C33-1</f>
        <v>7.4888244960120698E-3</v>
      </c>
      <c r="H33" s="16">
        <f>E33-C33</f>
        <v>888.66409325972199</v>
      </c>
      <c r="I33" s="17">
        <f>E33/C33-1</f>
        <v>1.2545392471685624E-4</v>
      </c>
      <c r="J33" s="21">
        <f>E33-D33</f>
        <v>-52159.093841349706</v>
      </c>
      <c r="K33" s="22">
        <f>E33/D33-1</f>
        <v>-7.3086374679923738E-3</v>
      </c>
      <c r="L33" s="27">
        <f>HYPERLINK("[N Only Old retention.xlsx]'Coastal N Reductions'!D100", 119.800436794458)</f>
        <v>119.80043679445799</v>
      </c>
      <c r="M33" s="27">
        <f>HYPERLINK("[N Only New retention.xlsx]'Coastal N Reductions'!D100", 119.799839240974)</f>
        <v>119.79983924097399</v>
      </c>
      <c r="N33" s="27">
        <f>HYPERLINK("[N Only with New retention and Differentiation.xlsx]'Coastal N Reductions'!D100", 119.798700311081)</f>
        <v>119.79870031108101</v>
      </c>
    </row>
    <row r="34" spans="1:14" x14ac:dyDescent="0.55000000000000004">
      <c r="A34" s="31">
        <v>84</v>
      </c>
      <c r="B34" s="5" t="s">
        <v>185</v>
      </c>
      <c r="C34" s="28">
        <f>HYPERLINK("[N Only Old retention.xlsx]'Coastal N Reductions'!C101", 757010.053503291)</f>
        <v>757010.05350329098</v>
      </c>
      <c r="D34" s="28">
        <f>HYPERLINK("[N Only New retention.xlsx]'Coastal N Reductions'!C101", 687970.38904979)</f>
        <v>687970.38904978998</v>
      </c>
      <c r="E34" s="28">
        <f>HYPERLINK("[N Only with New retention and Differentiation.xlsx]'Coastal N Reductions'!C101", 687970.38904979)</f>
        <v>687970.38904978998</v>
      </c>
      <c r="F34" s="21">
        <f>D34-C34</f>
        <v>-69039.664453500998</v>
      </c>
      <c r="G34" s="22">
        <f>D34/C34-1</f>
        <v>-9.1200459140534873E-2</v>
      </c>
      <c r="H34" s="21">
        <f>E34-C34</f>
        <v>-69039.664453500998</v>
      </c>
      <c r="I34" s="22">
        <f>E34/C34-1</f>
        <v>-9.1200459140534873E-2</v>
      </c>
      <c r="J34" s="13"/>
      <c r="K34" s="13"/>
      <c r="L34" s="29">
        <f>HYPERLINK("[N Only Old retention.xlsx]'Coastal N Reductions'!D101", 11.9153672205095)</f>
        <v>11.9153672205095</v>
      </c>
      <c r="M34" s="29">
        <f>HYPERLINK("[N Only New retention.xlsx]'Coastal N Reductions'!D101", 11.8315526493975)</f>
        <v>11.8315526493975</v>
      </c>
      <c r="N34" s="29">
        <f>HYPERLINK("[N Only with New retention and Differentiation.xlsx]'Coastal N Reductions'!D101", 11.8315526493975)</f>
        <v>11.8315526493975</v>
      </c>
    </row>
    <row r="35" spans="1:14" x14ac:dyDescent="0.55000000000000004">
      <c r="A35" s="30">
        <v>85</v>
      </c>
      <c r="B35" s="6" t="s">
        <v>186</v>
      </c>
      <c r="C35" s="26">
        <f>HYPERLINK("[N Only Old retention.xlsx]'Coastal N Reductions'!C102", 311571.152433591)</f>
        <v>311571.15243359102</v>
      </c>
      <c r="D35" s="26">
        <f>HYPERLINK("[N Only New retention.xlsx]'Coastal N Reductions'!C102", 315965.027679767)</f>
        <v>315965.02767976699</v>
      </c>
      <c r="E35" s="26">
        <f>HYPERLINK("[N Only with New retention and Differentiation.xlsx]'Coastal N Reductions'!C102", 315967.552823073)</f>
        <v>315967.552823073</v>
      </c>
      <c r="F35" s="16">
        <f>D35-C35</f>
        <v>4393.8752461759723</v>
      </c>
      <c r="G35" s="17">
        <f>D35/C35-1</f>
        <v>1.4102317277632004E-2</v>
      </c>
      <c r="H35" s="16">
        <f>E35-C35</f>
        <v>4396.4003894819762</v>
      </c>
      <c r="I35" s="17">
        <f>E35/C35-1</f>
        <v>1.4110421825457742E-2</v>
      </c>
      <c r="J35" s="16">
        <f>E35-D35</f>
        <v>2.5251433060038835</v>
      </c>
      <c r="K35" s="17">
        <f>E35/D35-1</f>
        <v>7.9918443016691043E-6</v>
      </c>
      <c r="L35" s="27">
        <f>HYPERLINK("[N Only Old retention.xlsx]'Coastal N Reductions'!D102", 9.68822661618016)</f>
        <v>9.6882266161801596</v>
      </c>
      <c r="M35" s="27">
        <f>HYPERLINK("[N Only New retention.xlsx]'Coastal N Reductions'!D102", 9.64896147722671)</f>
        <v>9.6489614772267096</v>
      </c>
      <c r="N35" s="27">
        <f>HYPERLINK("[N Only with New retention and Differentiation.xlsx]'Coastal N Reductions'!D102", 9.64804678297804)</f>
        <v>9.6480467829780405</v>
      </c>
    </row>
    <row r="36" spans="1:14" x14ac:dyDescent="0.55000000000000004">
      <c r="A36" s="31">
        <v>86</v>
      </c>
      <c r="B36" s="5" t="s">
        <v>187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55000000000000004">
      <c r="A37" s="30">
        <v>87</v>
      </c>
      <c r="B37" s="6" t="s">
        <v>188</v>
      </c>
      <c r="C37" s="26">
        <f>HYPERLINK("[N Only Old retention.xlsx]'Coastal N Reductions'!C104", 1125167.39365708)</f>
        <v>1125167.3936570799</v>
      </c>
      <c r="D37" s="26">
        <f>HYPERLINK("[N Only New retention.xlsx]'Coastal N Reductions'!C104", 1004290.06274628)</f>
        <v>1004290.06274628</v>
      </c>
      <c r="E37" s="26">
        <f>HYPERLINK("[N Only with New retention and Differentiation.xlsx]'Coastal N Reductions'!C104", 1004280.07874628)</f>
        <v>1004280.0787462801</v>
      </c>
      <c r="F37" s="21">
        <f>D37-C37</f>
        <v>-120877.33091079991</v>
      </c>
      <c r="G37" s="22">
        <f>D37/C37-1</f>
        <v>-0.10743053130780644</v>
      </c>
      <c r="H37" s="21">
        <f>E37-C37</f>
        <v>-120887.31491079985</v>
      </c>
      <c r="I37" s="22">
        <f>E37/C37-1</f>
        <v>-0.10743940465416912</v>
      </c>
      <c r="J37" s="21">
        <f>E37-D37</f>
        <v>-9.9839999999385327</v>
      </c>
      <c r="K37" s="22">
        <f>E37/D37-1</f>
        <v>-9.9413509804247013E-6</v>
      </c>
      <c r="L37" s="27">
        <f>HYPERLINK("[N Only Old retention.xlsx]'Coastal N Reductions'!D104", 47.9362858941517)</f>
        <v>47.936285894151702</v>
      </c>
      <c r="M37" s="27">
        <f>HYPERLINK("[N Only New retention.xlsx]'Coastal N Reductions'!D104", 47.9383309792452)</f>
        <v>47.938330979245201</v>
      </c>
      <c r="N37" s="27">
        <f>HYPERLINK("[N Only with New retention and Differentiation.xlsx]'Coastal N Reductions'!D104", 47.9404451517787)</f>
        <v>47.940445151778697</v>
      </c>
    </row>
    <row r="38" spans="1:14" x14ac:dyDescent="0.55000000000000004">
      <c r="A38" s="31">
        <v>89</v>
      </c>
      <c r="B38" s="5" t="s">
        <v>189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55000000000000004">
      <c r="A39" s="30">
        <v>90</v>
      </c>
      <c r="B39" s="6" t="s">
        <v>190</v>
      </c>
      <c r="C39" s="18"/>
      <c r="D39" s="18"/>
      <c r="E39" s="18"/>
      <c r="F39" s="13"/>
      <c r="G39" s="18"/>
      <c r="H39" s="13"/>
      <c r="I39" s="18"/>
      <c r="J39" s="13"/>
      <c r="K39" s="18"/>
      <c r="L39" s="18"/>
      <c r="M39" s="18"/>
      <c r="N39" s="18"/>
    </row>
    <row r="40" spans="1:14" x14ac:dyDescent="0.55000000000000004">
      <c r="A40" s="31">
        <v>92</v>
      </c>
      <c r="B40" s="5" t="s">
        <v>191</v>
      </c>
      <c r="C40" s="28">
        <f>HYPERLINK("[N Only Old retention.xlsx]'Coastal N Reductions'!C107", 187791.995185247)</f>
        <v>187791.99518524701</v>
      </c>
      <c r="D40" s="28">
        <f>HYPERLINK("[N Only New retention.xlsx]'Coastal N Reductions'!C107", 121800.78322891)</f>
        <v>121800.78322891</v>
      </c>
      <c r="E40" s="28">
        <f>HYPERLINK("[N Only with New retention and Differentiation.xlsx]'Coastal N Reductions'!C107", 121800.78322891)</f>
        <v>121800.78322891</v>
      </c>
      <c r="F40" s="21">
        <f>D40-C40</f>
        <v>-65991.211956337007</v>
      </c>
      <c r="G40" s="22">
        <f>D40/C40-1</f>
        <v>-0.35140588336174883</v>
      </c>
      <c r="H40" s="21">
        <f>E40-C40</f>
        <v>-65991.211956337007</v>
      </c>
      <c r="I40" s="22">
        <f>E40/C40-1</f>
        <v>-0.35140588336174883</v>
      </c>
      <c r="J40" s="13"/>
      <c r="K40" s="13"/>
      <c r="L40" s="29">
        <f>HYPERLINK("[N Only Old retention.xlsx]'Coastal N Reductions'!D107", 10.124897896079)</f>
        <v>10.124897896079</v>
      </c>
      <c r="M40" s="29">
        <f>HYPERLINK("[N Only New retention.xlsx]'Coastal N Reductions'!D107", 10.2224578158109)</f>
        <v>10.2224578158109</v>
      </c>
      <c r="N40" s="29">
        <f>HYPERLINK("[N Only with New retention and Differentiation.xlsx]'Coastal N Reductions'!D107", 10.2224578158109)</f>
        <v>10.2224578158109</v>
      </c>
    </row>
    <row r="41" spans="1:14" x14ac:dyDescent="0.55000000000000004">
      <c r="A41" s="30">
        <v>93</v>
      </c>
      <c r="B41" s="6" t="s">
        <v>192</v>
      </c>
      <c r="C41" s="26">
        <f>HYPERLINK("[N Only Old retention.xlsx]'Coastal N Reductions'!C108", 9534907.37089834)</f>
        <v>9534907.3708983399</v>
      </c>
      <c r="D41" s="26">
        <f>HYPERLINK("[N Only New retention.xlsx]'Coastal N Reductions'!C108", 8682904.09332417)</f>
        <v>8682904.0933241695</v>
      </c>
      <c r="E41" s="26">
        <f>HYPERLINK("[N Only with New retention and Differentiation.xlsx]'Coastal N Reductions'!C108", 8666830.24526382)</f>
        <v>8666830.2452638205</v>
      </c>
      <c r="F41" s="21">
        <f>D41-C41</f>
        <v>-852003.27757417038</v>
      </c>
      <c r="G41" s="22">
        <f>D41/C41-1</f>
        <v>-8.9356219670742143E-2</v>
      </c>
      <c r="H41" s="21">
        <f>E41-C41</f>
        <v>-868077.12563451938</v>
      </c>
      <c r="I41" s="22">
        <f>E41/C41-1</f>
        <v>-9.1042009310336125E-2</v>
      </c>
      <c r="J41" s="21">
        <f>E41-D41</f>
        <v>-16073.848060349002</v>
      </c>
      <c r="K41" s="22">
        <f>E41/D41-1</f>
        <v>-1.8512064497760994E-3</v>
      </c>
      <c r="L41" s="27">
        <f>HYPERLINK("[N Only Old retention.xlsx]'Coastal N Reductions'!D108", 345.775266643471)</f>
        <v>345.77526664347101</v>
      </c>
      <c r="M41" s="27">
        <f>HYPERLINK("[N Only New retention.xlsx]'Coastal N Reductions'!D108", 345.775425175226)</f>
        <v>345.77542517522602</v>
      </c>
      <c r="N41" s="27">
        <f>HYPERLINK("[N Only with New retention and Differentiation.xlsx]'Coastal N Reductions'!D108", 345.775106747215)</f>
        <v>345.77510674721498</v>
      </c>
    </row>
    <row r="42" spans="1:14" x14ac:dyDescent="0.55000000000000004">
      <c r="A42" s="31">
        <v>95</v>
      </c>
      <c r="B42" s="5" t="s">
        <v>193</v>
      </c>
      <c r="C42" s="28">
        <f>HYPERLINK("[N Only Old retention.xlsx]'Coastal N Reductions'!C109", 600061.851097105)</f>
        <v>600061.85109710495</v>
      </c>
      <c r="D42" s="28">
        <f>HYPERLINK("[N Only New retention.xlsx]'Coastal N Reductions'!C109", 516775.766304401)</f>
        <v>516775.76630440098</v>
      </c>
      <c r="E42" s="28">
        <f>HYPERLINK("[N Only with New retention and Differentiation.xlsx]'Coastal N Reductions'!C109", 516775.766304326)</f>
        <v>516775.76630432601</v>
      </c>
      <c r="F42" s="21">
        <f>D42-C42</f>
        <v>-83286.084792703972</v>
      </c>
      <c r="G42" s="22">
        <f>D42/C42-1</f>
        <v>-0.13879583353021085</v>
      </c>
      <c r="H42" s="21">
        <f>E42-C42</f>
        <v>-83286.084792778944</v>
      </c>
      <c r="I42" s="22">
        <f>E42/C42-1</f>
        <v>-0.13879583353033587</v>
      </c>
      <c r="J42" s="21">
        <f>E42-D42</f>
        <v>-7.4971467256546021E-8</v>
      </c>
      <c r="K42" s="22">
        <f>E42/D42-1</f>
        <v>-1.4510614931850796E-13</v>
      </c>
      <c r="L42" s="29">
        <f>HYPERLINK("[N Only Old retention.xlsx]'Coastal N Reductions'!D109", 18.2335711588133)</f>
        <v>18.233571158813302</v>
      </c>
      <c r="M42" s="29">
        <f>HYPERLINK("[N Only New retention.xlsx]'Coastal N Reductions'!D109", 18.195543271461)</f>
        <v>18.195543271460998</v>
      </c>
      <c r="N42" s="29">
        <f>HYPERLINK("[N Only with New retention and Differentiation.xlsx]'Coastal N Reductions'!D109", 18.195543271459)</f>
        <v>18.195543271459002</v>
      </c>
    </row>
    <row r="43" spans="1:14" x14ac:dyDescent="0.55000000000000004">
      <c r="A43" s="30">
        <v>96</v>
      </c>
      <c r="B43" s="6" t="s">
        <v>194</v>
      </c>
      <c r="C43" s="26">
        <f>HYPERLINK("[N Only Old retention.xlsx]'Coastal N Reductions'!C110", 2844473.14008757)</f>
        <v>2844473.1400875701</v>
      </c>
      <c r="D43" s="26">
        <f>HYPERLINK("[N Only New retention.xlsx]'Coastal N Reductions'!C110", 3617235.80102484)</f>
        <v>3617235.8010248402</v>
      </c>
      <c r="E43" s="26">
        <f>HYPERLINK("[N Only with New retention and Differentiation.xlsx]'Coastal N Reductions'!C110", 3617833.9843358)</f>
        <v>3617833.9843358002</v>
      </c>
      <c r="F43" s="16">
        <f>D43-C43</f>
        <v>772762.66093727015</v>
      </c>
      <c r="G43" s="17">
        <f>D43/C43-1</f>
        <v>0.27167163227756119</v>
      </c>
      <c r="H43" s="16">
        <f>E43-C43</f>
        <v>773360.8442482301</v>
      </c>
      <c r="I43" s="17">
        <f>E43/C43-1</f>
        <v>0.27188192897628194</v>
      </c>
      <c r="J43" s="16">
        <f>E43-D43</f>
        <v>598.18331095995381</v>
      </c>
      <c r="K43" s="17">
        <f>E43/D43-1</f>
        <v>1.6537028379248753E-4</v>
      </c>
      <c r="L43" s="27">
        <f>HYPERLINK("[N Only Old retention.xlsx]'Coastal N Reductions'!D110", 63.9454438338828)</f>
        <v>63.945443833882798</v>
      </c>
      <c r="M43" s="27">
        <f>HYPERLINK("[N Only New retention.xlsx]'Coastal N Reductions'!D110", 63.9497365365528)</f>
        <v>63.949736536552798</v>
      </c>
      <c r="N43" s="27">
        <f>HYPERLINK("[N Only with New retention and Differentiation.xlsx]'Coastal N Reductions'!D110", 63.9523014315559)</f>
        <v>63.952301431555902</v>
      </c>
    </row>
    <row r="44" spans="1:14" x14ac:dyDescent="0.55000000000000004">
      <c r="A44" s="31">
        <v>101</v>
      </c>
      <c r="B44" s="5" t="s">
        <v>195</v>
      </c>
      <c r="C44" s="28">
        <f>HYPERLINK("[N Only Old retention.xlsx]'Coastal N Reductions'!C3", 334132.419945867)</f>
        <v>334132.41994586698</v>
      </c>
      <c r="D44" s="28">
        <f>HYPERLINK("[N Only New retention.xlsx]'Coastal N Reductions'!C3", 387950.837276917)</f>
        <v>387950.83727691701</v>
      </c>
      <c r="E44" s="28">
        <f>HYPERLINK("[N Only with New retention and Differentiation.xlsx]'Coastal N Reductions'!C3", 388045.764085908)</f>
        <v>388045.76408590801</v>
      </c>
      <c r="F44" s="16">
        <f>D44-C44</f>
        <v>53818.417331050034</v>
      </c>
      <c r="G44" s="17">
        <f>D44/C44-1</f>
        <v>0.16106912744285395</v>
      </c>
      <c r="H44" s="16">
        <f>E44-C44</f>
        <v>53913.344140041037</v>
      </c>
      <c r="I44" s="17">
        <f>E44/C44-1</f>
        <v>0.16135322680982456</v>
      </c>
      <c r="J44" s="16">
        <f>E44-D44</f>
        <v>94.926808991003782</v>
      </c>
      <c r="K44" s="17">
        <f>E44/D44-1</f>
        <v>2.4468772810837258E-4</v>
      </c>
      <c r="L44" s="29">
        <f>HYPERLINK("[N Only Old retention.xlsx]'Coastal N Reductions'!D3", 13.6701840459793)</f>
        <v>13.670184045979299</v>
      </c>
      <c r="M44" s="29">
        <f>HYPERLINK("[N Only New retention.xlsx]'Coastal N Reductions'!D3", 13.6701340459271)</f>
        <v>13.670134045927099</v>
      </c>
      <c r="N44" s="29">
        <f>HYPERLINK("[N Only with New retention and Differentiation.xlsx]'Coastal N Reductions'!D3", 13.6700766714577)</f>
        <v>13.6700766714577</v>
      </c>
    </row>
    <row r="45" spans="1:14" x14ac:dyDescent="0.55000000000000004">
      <c r="A45" s="30">
        <v>102</v>
      </c>
      <c r="B45" s="6" t="s">
        <v>196</v>
      </c>
      <c r="C45" s="26">
        <f>HYPERLINK("[N Only Old retention.xlsx]'Coastal N Reductions'!C4", 1351638.92854099)</f>
        <v>1351638.92854099</v>
      </c>
      <c r="D45" s="26">
        <f>HYPERLINK("[N Only New retention.xlsx]'Coastal N Reductions'!C4", 4769627.20371463)</f>
        <v>4769627.2037146296</v>
      </c>
      <c r="E45" s="26">
        <f>HYPERLINK("[N Only with New retention and Differentiation.xlsx]'Coastal N Reductions'!C4", 4787267.98834619)</f>
        <v>4787267.9883461902</v>
      </c>
      <c r="F45" s="16">
        <f>D45-C45</f>
        <v>3417988.2751736399</v>
      </c>
      <c r="G45" s="17">
        <f>D45/C45-1</f>
        <v>2.5287731826895108</v>
      </c>
      <c r="H45" s="16">
        <f>E45-C45</f>
        <v>3435629.0598052004</v>
      </c>
      <c r="I45" s="17">
        <f>E45/C45-1</f>
        <v>2.5418245858853354</v>
      </c>
      <c r="J45" s="16">
        <f>E45-D45</f>
        <v>17640.784631560557</v>
      </c>
      <c r="K45" s="17">
        <f>E45/D45-1</f>
        <v>3.6985667596456384E-3</v>
      </c>
      <c r="L45" s="27">
        <f>HYPERLINK("[N Only Old retention.xlsx]'Coastal N Reductions'!D4", 34.3392694152696)</f>
        <v>34.339269415269598</v>
      </c>
      <c r="M45" s="27">
        <f>HYPERLINK("[N Only New retention.xlsx]'Coastal N Reductions'!D4", 34.3132909720337)</f>
        <v>34.313290972033698</v>
      </c>
      <c r="N45" s="27">
        <f>HYPERLINK("[N Only with New retention and Differentiation.xlsx]'Coastal N Reductions'!D4", 34.3131575800775)</f>
        <v>34.313157580077501</v>
      </c>
    </row>
    <row r="46" spans="1:14" x14ac:dyDescent="0.55000000000000004">
      <c r="A46" s="31">
        <v>103</v>
      </c>
      <c r="B46" s="5" t="s">
        <v>197</v>
      </c>
      <c r="C46" s="28">
        <f>HYPERLINK("[N Only Old retention.xlsx]'Coastal N Reductions'!C5", 2024808.12967646)</f>
        <v>2024808.1296764601</v>
      </c>
      <c r="D46" s="28">
        <f>HYPERLINK("[N Only New retention.xlsx]'Coastal N Reductions'!C5", 1956904.77426961)</f>
        <v>1956904.7742696099</v>
      </c>
      <c r="E46" s="28">
        <f>HYPERLINK("[N Only with New retention and Differentiation.xlsx]'Coastal N Reductions'!C5", 1951823.7734883)</f>
        <v>1951823.7734882999</v>
      </c>
      <c r="F46" s="21">
        <f>D46-C46</f>
        <v>-67903.355406850111</v>
      </c>
      <c r="G46" s="22">
        <f>D46/C46-1</f>
        <v>-3.3535698722081064E-2</v>
      </c>
      <c r="H46" s="21">
        <f>E46-C46</f>
        <v>-72984.356188160134</v>
      </c>
      <c r="I46" s="22">
        <f>E46/C46-1</f>
        <v>-3.6045072675514267E-2</v>
      </c>
      <c r="J46" s="21">
        <f>E46-D46</f>
        <v>-5081.0007813100237</v>
      </c>
      <c r="K46" s="22">
        <f>E46/D46-1</f>
        <v>-2.5964476392094094E-3</v>
      </c>
      <c r="L46" s="29">
        <f>HYPERLINK("[N Only Old retention.xlsx]'Coastal N Reductions'!D5", 44.3505462447582)</f>
        <v>44.350546244758199</v>
      </c>
      <c r="M46" s="29">
        <f>HYPERLINK("[N Only New retention.xlsx]'Coastal N Reductions'!D5", 44.350630665637)</f>
        <v>44.350630665636999</v>
      </c>
      <c r="N46" s="29">
        <f>HYPERLINK("[N Only with New retention and Differentiation.xlsx]'Coastal N Reductions'!D5", 44.3504668909736)</f>
        <v>44.3504668909736</v>
      </c>
    </row>
    <row r="47" spans="1:14" x14ac:dyDescent="0.55000000000000004">
      <c r="A47" s="30">
        <v>104</v>
      </c>
      <c r="B47" s="6" t="s">
        <v>198</v>
      </c>
      <c r="C47" s="26">
        <f>HYPERLINK("[N Only Old retention.xlsx]'Coastal N Reductions'!C6", 1793071.55834791)</f>
        <v>1793071.5583479099</v>
      </c>
      <c r="D47" s="26">
        <f>HYPERLINK("[N Only New retention.xlsx]'Coastal N Reductions'!C6", 2537655.38355629)</f>
        <v>2537655.3835562901</v>
      </c>
      <c r="E47" s="26">
        <f>HYPERLINK("[N Only with New retention and Differentiation.xlsx]'Coastal N Reductions'!C6", 2537286.41855633)</f>
        <v>2537286.4185563298</v>
      </c>
      <c r="F47" s="16">
        <f>D47-C47</f>
        <v>744583.82520838012</v>
      </c>
      <c r="G47" s="17">
        <f>D47/C47-1</f>
        <v>0.41525605698325863</v>
      </c>
      <c r="H47" s="16">
        <f>E47-C47</f>
        <v>744214.86020841985</v>
      </c>
      <c r="I47" s="17">
        <f>E47/C47-1</f>
        <v>0.41505028438135527</v>
      </c>
      <c r="J47" s="21">
        <f>E47-D47</f>
        <v>-368.96499996026978</v>
      </c>
      <c r="K47" s="22">
        <f>E47/D47-1</f>
        <v>-1.4539602278196284E-4</v>
      </c>
      <c r="L47" s="27">
        <f>HYPERLINK("[N Only Old retention.xlsx]'Coastal N Reductions'!D6", 23.2236133500849)</f>
        <v>23.2236133500849</v>
      </c>
      <c r="M47" s="27">
        <f>HYPERLINK("[N Only New retention.xlsx]'Coastal N Reductions'!D6", 23.2237844038486)</f>
        <v>23.223784403848601</v>
      </c>
      <c r="N47" s="27">
        <f>HYPERLINK("[N Only with New retention and Differentiation.xlsx]'Coastal N Reductions'!D6", 23.2236495551759)</f>
        <v>23.2236495551759</v>
      </c>
    </row>
    <row r="48" spans="1:14" x14ac:dyDescent="0.55000000000000004">
      <c r="A48" s="31">
        <v>105</v>
      </c>
      <c r="B48" s="5" t="s">
        <v>199</v>
      </c>
      <c r="C48" s="28">
        <f>HYPERLINK("[N Only Old retention.xlsx]'Coastal N Reductions'!C7", 1730494.81957072)</f>
        <v>1730494.81957072</v>
      </c>
      <c r="D48" s="28">
        <f>HYPERLINK("[N Only New retention.xlsx]'Coastal N Reductions'!C7", 2545077.30633209)</f>
        <v>2545077.3063320899</v>
      </c>
      <c r="E48" s="28">
        <f>HYPERLINK("[N Only with New retention and Differentiation.xlsx]'Coastal N Reductions'!C7", 2539318.33611955)</f>
        <v>2539318.3361195498</v>
      </c>
      <c r="F48" s="16">
        <f>D48-C48</f>
        <v>814582.48676136998</v>
      </c>
      <c r="G48" s="17">
        <f>D48/C48-1</f>
        <v>0.47072229142150324</v>
      </c>
      <c r="H48" s="16">
        <f>E48-C48</f>
        <v>808823.51654882985</v>
      </c>
      <c r="I48" s="17">
        <f>E48/C48-1</f>
        <v>0.46739435877044277</v>
      </c>
      <c r="J48" s="21">
        <f>E48-D48</f>
        <v>-5758.9702125401236</v>
      </c>
      <c r="K48" s="22">
        <f>E48/D48-1</f>
        <v>-2.2627879311217791E-3</v>
      </c>
      <c r="L48" s="29">
        <f>HYPERLINK("[N Only Old retention.xlsx]'Coastal N Reductions'!D7", 37.0901563772824)</f>
        <v>37.090156377282398</v>
      </c>
      <c r="M48" s="29">
        <f>HYPERLINK("[N Only New retention.xlsx]'Coastal N Reductions'!D7", 37.090451506369)</f>
        <v>37.090451506369</v>
      </c>
      <c r="N48" s="29">
        <f>HYPERLINK("[N Only with New retention and Differentiation.xlsx]'Coastal N Reductions'!D7", 37.0901972995832)</f>
        <v>37.090197299583203</v>
      </c>
    </row>
    <row r="49" spans="1:14" x14ac:dyDescent="0.55000000000000004">
      <c r="A49" s="30">
        <v>106</v>
      </c>
      <c r="B49" s="6" t="s">
        <v>200</v>
      </c>
      <c r="C49" s="26">
        <f>HYPERLINK("[N Only Old retention.xlsx]'Coastal N Reductions'!C8", 4513441.23633629)</f>
        <v>4513441.2363362899</v>
      </c>
      <c r="D49" s="26">
        <f>HYPERLINK("[N Only New retention.xlsx]'Coastal N Reductions'!C8", 6058888.00854707)</f>
        <v>6058888.0085470704</v>
      </c>
      <c r="E49" s="26">
        <f>HYPERLINK("[N Only with New retention and Differentiation.xlsx]'Coastal N Reductions'!C8", 6075542.95569826)</f>
        <v>6075542.9556982601</v>
      </c>
      <c r="F49" s="16">
        <f>D49-C49</f>
        <v>1545446.7722107805</v>
      </c>
      <c r="G49" s="17">
        <f>D49/C49-1</f>
        <v>0.34240985786385703</v>
      </c>
      <c r="H49" s="16">
        <f>E49-C49</f>
        <v>1562101.7193619702</v>
      </c>
      <c r="I49" s="17">
        <f>E49/C49-1</f>
        <v>0.34609993518603566</v>
      </c>
      <c r="J49" s="16">
        <f>E49-D49</f>
        <v>16654.94715118967</v>
      </c>
      <c r="K49" s="17">
        <f>E49/D49-1</f>
        <v>2.7488455187973937E-3</v>
      </c>
      <c r="L49" s="27">
        <f>HYPERLINK("[N Only Old retention.xlsx]'Coastal N Reductions'!D8", 89.3744374775768)</f>
        <v>89.374437477576805</v>
      </c>
      <c r="M49" s="27">
        <f>HYPERLINK("[N Only New retention.xlsx]'Coastal N Reductions'!D8", 89.374719865089)</f>
        <v>89.374719865089006</v>
      </c>
      <c r="N49" s="27">
        <f>HYPERLINK("[N Only with New retention and Differentiation.xlsx]'Coastal N Reductions'!D8", 89.3744454104813)</f>
        <v>89.3744454104813</v>
      </c>
    </row>
    <row r="50" spans="1:14" x14ac:dyDescent="0.55000000000000004">
      <c r="A50" s="31">
        <v>107</v>
      </c>
      <c r="B50" s="5" t="s">
        <v>201</v>
      </c>
      <c r="C50" s="28">
        <f>HYPERLINK("[N Only Old retention.xlsx]'Coastal N Reductions'!C9", 1102510.5993468)</f>
        <v>1102510.5993468</v>
      </c>
      <c r="D50" s="28">
        <f>HYPERLINK("[N Only New retention.xlsx]'Coastal N Reductions'!C9", 1042067.26184851)</f>
        <v>1042067.26184851</v>
      </c>
      <c r="E50" s="28">
        <f>HYPERLINK("[N Only with New retention and Differentiation.xlsx]'Coastal N Reductions'!C9", 1050040.96008391)</f>
        <v>1050040.96008391</v>
      </c>
      <c r="F50" s="21">
        <f>D50-C50</f>
        <v>-60443.337498289999</v>
      </c>
      <c r="G50" s="22">
        <f>D50/C50-1</f>
        <v>-5.48233618199232E-2</v>
      </c>
      <c r="H50" s="21">
        <f>E50-C50</f>
        <v>-52469.639262889978</v>
      </c>
      <c r="I50" s="22">
        <f>E50/C50-1</f>
        <v>-4.7591051998934431E-2</v>
      </c>
      <c r="J50" s="16">
        <f>E50-D50</f>
        <v>7973.6982354000211</v>
      </c>
      <c r="K50" s="17">
        <f>E50/D50-1</f>
        <v>7.6518076398019996E-3</v>
      </c>
      <c r="L50" s="29">
        <f>HYPERLINK("[N Only Old retention.xlsx]'Coastal N Reductions'!D9", 88.8264096589865)</f>
        <v>88.826409658986506</v>
      </c>
      <c r="M50" s="29">
        <f>HYPERLINK("[N Only New retention.xlsx]'Coastal N Reductions'!D9", 88.8249409430998)</f>
        <v>88.824940943099804</v>
      </c>
      <c r="N50" s="29">
        <f>HYPERLINK("[N Only with New retention and Differentiation.xlsx]'Coastal N Reductions'!D9", 88.8273802659873)</f>
        <v>88.827380265987301</v>
      </c>
    </row>
    <row r="51" spans="1:14" x14ac:dyDescent="0.55000000000000004">
      <c r="A51" s="30">
        <v>108</v>
      </c>
      <c r="B51" s="6" t="s">
        <v>202</v>
      </c>
      <c r="C51" s="26">
        <f>HYPERLINK("[N Only Old retention.xlsx]'Coastal N Reductions'!C10", 2285116.14026596)</f>
        <v>2285116.1402659598</v>
      </c>
      <c r="D51" s="26">
        <f>HYPERLINK("[N Only New retention.xlsx]'Coastal N Reductions'!C10", 3025290.11008593)</f>
        <v>3025290.1100859302</v>
      </c>
      <c r="E51" s="26">
        <f>HYPERLINK("[N Only with New retention and Differentiation.xlsx]'Coastal N Reductions'!C10", 3028526.07731477)</f>
        <v>3028526.0773147698</v>
      </c>
      <c r="F51" s="16">
        <f>D51-C51</f>
        <v>740173.96981997043</v>
      </c>
      <c r="G51" s="17">
        <f>D51/C51-1</f>
        <v>0.32391087559069232</v>
      </c>
      <c r="H51" s="16">
        <f>E51-C51</f>
        <v>743409.93704881007</v>
      </c>
      <c r="I51" s="17">
        <f>E51/C51-1</f>
        <v>0.32532698183221709</v>
      </c>
      <c r="J51" s="16">
        <f>E51-D51</f>
        <v>3235.9672288396396</v>
      </c>
      <c r="K51" s="17">
        <f>E51/D51-1</f>
        <v>1.0696386498774135E-3</v>
      </c>
      <c r="L51" s="27">
        <f>HYPERLINK("[N Only Old retention.xlsx]'Coastal N Reductions'!D10", 34.8875767951517)</f>
        <v>34.887576795151702</v>
      </c>
      <c r="M51" s="27">
        <f>HYPERLINK("[N Only New retention.xlsx]'Coastal N Reductions'!D10", 34.852767339314)</f>
        <v>34.852767339313999</v>
      </c>
      <c r="N51" s="27">
        <f>HYPERLINK("[N Only with New retention and Differentiation.xlsx]'Coastal N Reductions'!D10", 34.8481537757016)</f>
        <v>34.848153775701597</v>
      </c>
    </row>
    <row r="52" spans="1:14" x14ac:dyDescent="0.55000000000000004">
      <c r="A52" s="31">
        <v>109</v>
      </c>
      <c r="B52" s="5" t="s">
        <v>203</v>
      </c>
      <c r="C52" s="28">
        <f>HYPERLINK("[N Only Old retention.xlsx]'Coastal N Reductions'!C11", 4999884.17907408)</f>
        <v>4999884.1790740797</v>
      </c>
      <c r="D52" s="28">
        <f>HYPERLINK("[N Only New retention.xlsx]'Coastal N Reductions'!C11", 6909461.14420248)</f>
        <v>6909461.1442024801</v>
      </c>
      <c r="E52" s="28">
        <f>HYPERLINK("[N Only with New retention and Differentiation.xlsx]'Coastal N Reductions'!C11", 6917527.77892302)</f>
        <v>6917527.7789230198</v>
      </c>
      <c r="F52" s="16">
        <f>D52-C52</f>
        <v>1909576.9651284004</v>
      </c>
      <c r="G52" s="17">
        <f>D52/C52-1</f>
        <v>0.38192423998950153</v>
      </c>
      <c r="H52" s="16">
        <f>E52-C52</f>
        <v>1917643.59984894</v>
      </c>
      <c r="I52" s="17">
        <f>E52/C52-1</f>
        <v>0.38353760430587913</v>
      </c>
      <c r="J52" s="16">
        <f>E52-D52</f>
        <v>8066.6347205396742</v>
      </c>
      <c r="K52" s="17">
        <f>E52/D52-1</f>
        <v>1.1674766746909704E-3</v>
      </c>
      <c r="L52" s="29">
        <f>HYPERLINK("[N Only Old retention.xlsx]'Coastal N Reductions'!D11", 77.1345762212413)</f>
        <v>77.134576221241304</v>
      </c>
      <c r="M52" s="29">
        <f>HYPERLINK("[N Only New retention.xlsx]'Coastal N Reductions'!D11", 77.1393703505565)</f>
        <v>77.139370350556504</v>
      </c>
      <c r="N52" s="29">
        <f>HYPERLINK("[N Only with New retention and Differentiation.xlsx]'Coastal N Reductions'!D11", 77.1342861295047)</f>
        <v>77.134286129504702</v>
      </c>
    </row>
    <row r="53" spans="1:14" x14ac:dyDescent="0.55000000000000004">
      <c r="A53" s="30">
        <v>110</v>
      </c>
      <c r="B53" s="6" t="s">
        <v>204</v>
      </c>
      <c r="C53" s="26">
        <f>HYPERLINK("[N Only Old retention.xlsx]'Coastal N Reductions'!C12", 1033704.04687215)</f>
        <v>1033704.04687215</v>
      </c>
      <c r="D53" s="26">
        <f>HYPERLINK("[N Only New retention.xlsx]'Coastal N Reductions'!C12", 1438225.4886649)</f>
        <v>1438225.4886649</v>
      </c>
      <c r="E53" s="26">
        <f>HYPERLINK("[N Only with New retention and Differentiation.xlsx]'Coastal N Reductions'!C12", 1428506.25572266)</f>
        <v>1428506.2557226601</v>
      </c>
      <c r="F53" s="16">
        <f>D53-C53</f>
        <v>404521.44179274992</v>
      </c>
      <c r="G53" s="17">
        <f>D53/C53-1</f>
        <v>0.39133197070938985</v>
      </c>
      <c r="H53" s="16">
        <f>E53-C53</f>
        <v>394802.20885051007</v>
      </c>
      <c r="I53" s="17">
        <f>E53/C53-1</f>
        <v>0.38192963454591156</v>
      </c>
      <c r="J53" s="21">
        <f>E53-D53</f>
        <v>-9719.232942239847</v>
      </c>
      <c r="K53" s="22">
        <f>E53/D53-1</f>
        <v>-6.7577949485947419E-3</v>
      </c>
      <c r="L53" s="27">
        <f>HYPERLINK("[N Only Old retention.xlsx]'Coastal N Reductions'!D12", 21.8562579615821)</f>
        <v>21.856257961582099</v>
      </c>
      <c r="M53" s="27">
        <f>HYPERLINK("[N Only New retention.xlsx]'Coastal N Reductions'!D12", 21.8647887282964)</f>
        <v>21.8647887282964</v>
      </c>
      <c r="N53" s="27">
        <f>HYPERLINK("[N Only with New retention and Differentiation.xlsx]'Coastal N Reductions'!D12", 21.852396268692)</f>
        <v>21.852396268692001</v>
      </c>
    </row>
    <row r="54" spans="1:14" x14ac:dyDescent="0.55000000000000004">
      <c r="A54" s="31">
        <v>111</v>
      </c>
      <c r="B54" s="5" t="s">
        <v>205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55000000000000004">
      <c r="A55" s="30">
        <v>113</v>
      </c>
      <c r="B55" s="6" t="s">
        <v>206</v>
      </c>
      <c r="C55" s="26">
        <f>HYPERLINK("[N Only Old retention.xlsx]'Coastal N Reductions'!C14", 39437.5911803435)</f>
        <v>39437.591180343501</v>
      </c>
      <c r="D55" s="26">
        <f>HYPERLINK("[N Only New retention.xlsx]'Coastal N Reductions'!C14", 41462.2174581857)</f>
        <v>41462.217458185703</v>
      </c>
      <c r="E55" s="26">
        <f>HYPERLINK("[N Only with New retention and Differentiation.xlsx]'Coastal N Reductions'!C14", 42041.2816482569)</f>
        <v>42041.281648256903</v>
      </c>
      <c r="F55" s="16">
        <f>D55-C55</f>
        <v>2024.6262778422024</v>
      </c>
      <c r="G55" s="17">
        <f>D55/C55-1</f>
        <v>5.1337473137845091E-2</v>
      </c>
      <c r="H55" s="16">
        <f>E55-C55</f>
        <v>2603.6904679134022</v>
      </c>
      <c r="I55" s="17">
        <f>E55/C55-1</f>
        <v>6.6020524833959371E-2</v>
      </c>
      <c r="J55" s="16">
        <f>E55-D55</f>
        <v>579.06419007119985</v>
      </c>
      <c r="K55" s="17">
        <f>E55/D55-1</f>
        <v>1.3966069003790826E-2</v>
      </c>
      <c r="L55" s="27">
        <f>HYPERLINK("[N Only Old retention.xlsx]'Coastal N Reductions'!D14", 2.691123876735)</f>
        <v>2.6911238767349999</v>
      </c>
      <c r="M55" s="27">
        <f>HYPERLINK("[N Only New retention.xlsx]'Coastal N Reductions'!D14", 2.68976928704528)</f>
        <v>2.6897692870452801</v>
      </c>
      <c r="N55" s="27">
        <f>HYPERLINK("[N Only with New retention and Differentiation.xlsx]'Coastal N Reductions'!D14", 2.69323561499262)</f>
        <v>2.69323561499262</v>
      </c>
    </row>
    <row r="56" spans="1:14" x14ac:dyDescent="0.55000000000000004">
      <c r="A56" s="31">
        <v>114</v>
      </c>
      <c r="B56" s="5" t="s">
        <v>207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55000000000000004">
      <c r="A57" s="30">
        <v>119</v>
      </c>
      <c r="B57" s="6" t="s">
        <v>208</v>
      </c>
      <c r="C57" s="18"/>
      <c r="D57" s="18"/>
      <c r="E57" s="18"/>
      <c r="F57" s="13"/>
      <c r="G57" s="18"/>
      <c r="H57" s="13"/>
      <c r="I57" s="18"/>
      <c r="J57" s="13"/>
      <c r="K57" s="18"/>
      <c r="L57" s="18"/>
      <c r="M57" s="18"/>
      <c r="N57" s="18"/>
    </row>
    <row r="58" spans="1:14" x14ac:dyDescent="0.55000000000000004">
      <c r="A58" s="31">
        <v>120</v>
      </c>
      <c r="B58" s="5" t="s">
        <v>209</v>
      </c>
      <c r="C58" s="28">
        <f>HYPERLINK("[N Only Old retention.xlsx]'Coastal N Reductions'!C17", 69403566.8141264)</f>
        <v>69403566.814126402</v>
      </c>
      <c r="D58" s="28">
        <f>HYPERLINK("[N Only New retention.xlsx]'Coastal N Reductions'!C17", 62064129.6140061)</f>
        <v>62064129.614006102</v>
      </c>
      <c r="E58" s="28">
        <f>HYPERLINK("[N Only with New retention and Differentiation.xlsx]'Coastal N Reductions'!C17", 62652900.4918112)</f>
        <v>62652900.491811201</v>
      </c>
      <c r="F58" s="21">
        <f>D58-C58</f>
        <v>-7339437.2001203001</v>
      </c>
      <c r="G58" s="22">
        <f>D58/C58-1</f>
        <v>-0.10575014422207518</v>
      </c>
      <c r="H58" s="21">
        <f>E58-C58</f>
        <v>-6750666.3223152012</v>
      </c>
      <c r="I58" s="22">
        <f>E58/C58-1</f>
        <v>-9.7266849993380644E-2</v>
      </c>
      <c r="J58" s="16">
        <f>E58-D58</f>
        <v>588770.87780509889</v>
      </c>
      <c r="K58" s="17">
        <f>E58/D58-1</f>
        <v>9.4864921407393776E-3</v>
      </c>
      <c r="L58" s="29">
        <f>HYPERLINK("[N Only Old retention.xlsx]'Coastal N Reductions'!D17", 2008.74365356584)</f>
        <v>2008.7436535658401</v>
      </c>
      <c r="M58" s="29">
        <f>HYPERLINK("[N Only New retention.xlsx]'Coastal N Reductions'!D17", 2008.74387345492)</f>
        <v>2008.74387345492</v>
      </c>
      <c r="N58" s="29">
        <f>HYPERLINK("[N Only with New retention and Differentiation.xlsx]'Coastal N Reductions'!D17", 2008.74370895495)</f>
        <v>2008.7437089549501</v>
      </c>
    </row>
    <row r="59" spans="1:14" x14ac:dyDescent="0.55000000000000004">
      <c r="A59" s="30">
        <v>121</v>
      </c>
      <c r="B59" s="6" t="s">
        <v>210</v>
      </c>
      <c r="C59" s="26">
        <f>HYPERLINK("[N Only Old retention.xlsx]'Coastal N Reductions'!C18", 13819988.7439322)</f>
        <v>13819988.743932201</v>
      </c>
      <c r="D59" s="26">
        <f>HYPERLINK("[N Only New retention.xlsx]'Coastal N Reductions'!C18", 9808508.04400217)</f>
        <v>9808508.0440021697</v>
      </c>
      <c r="E59" s="26">
        <f>HYPERLINK("[N Only with New retention and Differentiation.xlsx]'Coastal N Reductions'!C18", 10182021.9697149)</f>
        <v>10182021.9697149</v>
      </c>
      <c r="F59" s="21">
        <f>D59-C59</f>
        <v>-4011480.6999300309</v>
      </c>
      <c r="G59" s="22">
        <f>D59/C59-1</f>
        <v>-0.29026656781405191</v>
      </c>
      <c r="H59" s="21">
        <f>E59-C59</f>
        <v>-3637966.7742173001</v>
      </c>
      <c r="I59" s="22">
        <f>E59/C59-1</f>
        <v>-0.26323948894781735</v>
      </c>
      <c r="J59" s="16">
        <f>E59-D59</f>
        <v>373513.92571273074</v>
      </c>
      <c r="K59" s="17">
        <f>E59/D59-1</f>
        <v>3.8080605535225187E-2</v>
      </c>
      <c r="L59" s="27">
        <f>HYPERLINK("[N Only Old retention.xlsx]'Coastal N Reductions'!D18", 637.422689727704)</f>
        <v>637.42268972770398</v>
      </c>
      <c r="M59" s="27">
        <f>HYPERLINK("[N Only New retention.xlsx]'Coastal N Reductions'!D18", 637.422708851818)</f>
        <v>637.42270885181802</v>
      </c>
      <c r="N59" s="27">
        <f>HYPERLINK("[N Only with New retention and Differentiation.xlsx]'Coastal N Reductions'!D18", 637.422729340788)</f>
        <v>637.42272934078801</v>
      </c>
    </row>
    <row r="60" spans="1:14" x14ac:dyDescent="0.55000000000000004">
      <c r="A60" s="31">
        <v>122</v>
      </c>
      <c r="B60" s="5" t="s">
        <v>211</v>
      </c>
      <c r="C60" s="28">
        <f>HYPERLINK("[N Only Old retention.xlsx]'Coastal N Reductions'!C19", 4765500.54640436)</f>
        <v>4765500.5464043599</v>
      </c>
      <c r="D60" s="28">
        <f>HYPERLINK("[N Only New retention.xlsx]'Coastal N Reductions'!C19", 6124636.73986065)</f>
        <v>6124636.7398606502</v>
      </c>
      <c r="E60" s="28">
        <f>HYPERLINK("[N Only with New retention and Differentiation.xlsx]'Coastal N Reductions'!C19", 6127615.13553982)</f>
        <v>6127615.1355398204</v>
      </c>
      <c r="F60" s="16">
        <f>D60-C60</f>
        <v>1359136.1934562903</v>
      </c>
      <c r="G60" s="17">
        <f>D60/C60-1</f>
        <v>0.28520323945441128</v>
      </c>
      <c r="H60" s="16">
        <f>E60-C60</f>
        <v>1362114.5891354606</v>
      </c>
      <c r="I60" s="17">
        <f>E60/C60-1</f>
        <v>0.28582823060700213</v>
      </c>
      <c r="J60" s="16">
        <f>E60-D60</f>
        <v>2978.3956791702658</v>
      </c>
      <c r="K60" s="17">
        <f>E60/D60-1</f>
        <v>4.8629752353890332E-4</v>
      </c>
      <c r="L60" s="29">
        <f>HYPERLINK("[N Only Old retention.xlsx]'Coastal N Reductions'!D19", 103.591481363961)</f>
        <v>103.59148136396099</v>
      </c>
      <c r="M60" s="29">
        <f>HYPERLINK("[N Only New retention.xlsx]'Coastal N Reductions'!D19", 103.592840565874)</f>
        <v>103.592840565874</v>
      </c>
      <c r="N60" s="29">
        <f>HYPERLINK("[N Only with New retention and Differentiation.xlsx]'Coastal N Reductions'!D19", 103.604852477094)</f>
        <v>103.604852477094</v>
      </c>
    </row>
    <row r="61" spans="1:14" x14ac:dyDescent="0.55000000000000004">
      <c r="A61" s="30">
        <v>123</v>
      </c>
      <c r="B61" s="6" t="s">
        <v>212</v>
      </c>
      <c r="C61" s="26">
        <f>HYPERLINK("[N Only Old retention.xlsx]'Coastal N Reductions'!C20", 1812062.06812021)</f>
        <v>1812062.06812021</v>
      </c>
      <c r="D61" s="26">
        <f>HYPERLINK("[N Only New retention.xlsx]'Coastal N Reductions'!C20", 1423734.38753629)</f>
        <v>1423734.3875362901</v>
      </c>
      <c r="E61" s="26">
        <f>HYPERLINK("[N Only with New retention and Differentiation.xlsx]'Coastal N Reductions'!C20", 1424606.6943625)</f>
        <v>1424606.6943625</v>
      </c>
      <c r="F61" s="21">
        <f>D61-C61</f>
        <v>-388327.68058391986</v>
      </c>
      <c r="G61" s="22">
        <f>D61/C61-1</f>
        <v>-0.21430153382481087</v>
      </c>
      <c r="H61" s="21">
        <f>E61-C61</f>
        <v>-387455.37375770998</v>
      </c>
      <c r="I61" s="22">
        <f>E61/C61-1</f>
        <v>-0.21382014478104883</v>
      </c>
      <c r="J61" s="16">
        <f>E61-D61</f>
        <v>872.30682620988227</v>
      </c>
      <c r="K61" s="17">
        <f>E61/D61-1</f>
        <v>6.1268930064928284E-4</v>
      </c>
      <c r="L61" s="27">
        <f>HYPERLINK("[N Only Old retention.xlsx]'Coastal N Reductions'!D20", 86.1535692146589)</f>
        <v>86.153569214658901</v>
      </c>
      <c r="M61" s="27">
        <f>HYPERLINK("[N Only New retention.xlsx]'Coastal N Reductions'!D20", 86.1536063570573)</f>
        <v>86.153606357057299</v>
      </c>
      <c r="N61" s="27">
        <f>HYPERLINK("[N Only with New retention and Differentiation.xlsx]'Coastal N Reductions'!D20", 86.1542010937814)</f>
        <v>86.154201093781396</v>
      </c>
    </row>
    <row r="62" spans="1:14" x14ac:dyDescent="0.55000000000000004">
      <c r="A62" s="31">
        <v>124</v>
      </c>
      <c r="B62" s="5" t="s">
        <v>213</v>
      </c>
      <c r="C62" s="28">
        <f>HYPERLINK("[N Only Old retention.xlsx]'Coastal N Reductions'!C21", 15648499.5569029)</f>
        <v>15648499.5569029</v>
      </c>
      <c r="D62" s="28">
        <f>HYPERLINK("[N Only New retention.xlsx]'Coastal N Reductions'!C21", 14744659.4685135)</f>
        <v>14744659.4685135</v>
      </c>
      <c r="E62" s="28">
        <f>HYPERLINK("[N Only with New retention and Differentiation.xlsx]'Coastal N Reductions'!C21", 14761008.9650287)</f>
        <v>14761008.965028699</v>
      </c>
      <c r="F62" s="21">
        <f>D62-C62</f>
        <v>-903840.08838940039</v>
      </c>
      <c r="G62" s="22">
        <f>D62/C62-1</f>
        <v>-5.7758897912400631E-2</v>
      </c>
      <c r="H62" s="21">
        <f>E62-C62</f>
        <v>-887490.59187420085</v>
      </c>
      <c r="I62" s="22">
        <f>E62/C62-1</f>
        <v>-5.6714101479634182E-2</v>
      </c>
      <c r="J62" s="16">
        <f>E62-D62</f>
        <v>16349.496515199542</v>
      </c>
      <c r="K62" s="17">
        <f>E62/D62-1</f>
        <v>1.1088419200262489E-3</v>
      </c>
      <c r="L62" s="29">
        <f>HYPERLINK("[N Only Old retention.xlsx]'Coastal N Reductions'!D21", 302.550392830817)</f>
        <v>302.55039283081697</v>
      </c>
      <c r="M62" s="29">
        <f>HYPERLINK("[N Only New retention.xlsx]'Coastal N Reductions'!D21", 302.550515166374)</f>
        <v>302.550515166374</v>
      </c>
      <c r="N62" s="29">
        <f>HYPERLINK("[N Only with New retention and Differentiation.xlsx]'Coastal N Reductions'!D21", 302.549964317444)</f>
        <v>302.54996431744399</v>
      </c>
    </row>
    <row r="63" spans="1:14" x14ac:dyDescent="0.55000000000000004">
      <c r="A63" s="30">
        <v>125</v>
      </c>
      <c r="B63" s="6" t="s">
        <v>214</v>
      </c>
      <c r="C63" s="26">
        <f>HYPERLINK("[N Only Old retention.xlsx]'Coastal N Reductions'!C22", 2157012.95814979)</f>
        <v>2157012.9581497898</v>
      </c>
      <c r="D63" s="26">
        <f>HYPERLINK("[N Only New retention.xlsx]'Coastal N Reductions'!C22", 4535386.02435005)</f>
        <v>4535386.0243500499</v>
      </c>
      <c r="E63" s="26">
        <f>HYPERLINK("[N Only with New retention and Differentiation.xlsx]'Coastal N Reductions'!C22", 4535386.02435005)</f>
        <v>4535386.0243500499</v>
      </c>
      <c r="F63" s="16">
        <f>D63-C63</f>
        <v>2378373.0662002601</v>
      </c>
      <c r="G63" s="17">
        <f>D63/C63-1</f>
        <v>1.1026234484193109</v>
      </c>
      <c r="H63" s="16">
        <f>E63-C63</f>
        <v>2378373.0662002601</v>
      </c>
      <c r="I63" s="17">
        <f>E63/C63-1</f>
        <v>1.1026234484193109</v>
      </c>
      <c r="J63" s="13"/>
      <c r="K63" s="18"/>
      <c r="L63" s="27">
        <f>HYPERLINK("[N Only Old retention.xlsx]'Coastal N Reductions'!D22", 33.6760875235834)</f>
        <v>33.676087523583398</v>
      </c>
      <c r="M63" s="27">
        <f>HYPERLINK("[N Only New retention.xlsx]'Coastal N Reductions'!D22", 30.8789193620293)</f>
        <v>30.878919362029301</v>
      </c>
      <c r="N63" s="27">
        <f>HYPERLINK("[N Only with New retention and Differentiation.xlsx]'Coastal N Reductions'!D22", 30.8789193620293)</f>
        <v>30.878919362029301</v>
      </c>
    </row>
    <row r="64" spans="1:14" x14ac:dyDescent="0.55000000000000004">
      <c r="A64" s="31">
        <v>127</v>
      </c>
      <c r="B64" s="5" t="s">
        <v>215</v>
      </c>
      <c r="C64" s="28">
        <f>HYPERLINK("[N Only Old retention.xlsx]'Coastal N Reductions'!C23", 120776.075249421)</f>
        <v>120776.075249421</v>
      </c>
      <c r="D64" s="28">
        <f>HYPERLINK("[N Only New retention.xlsx]'Coastal N Reductions'!C23", 161332.674753994)</f>
        <v>161332.67475399401</v>
      </c>
      <c r="E64" s="28">
        <f>HYPERLINK("[N Only with New retention and Differentiation.xlsx]'Coastal N Reductions'!C23", 161234.870128879)</f>
        <v>161234.870128879</v>
      </c>
      <c r="F64" s="16">
        <f>D64-C64</f>
        <v>40556.599504573009</v>
      </c>
      <c r="G64" s="17">
        <f>D64/C64-1</f>
        <v>0.33579994564997628</v>
      </c>
      <c r="H64" s="16">
        <f>E64-C64</f>
        <v>40458.794879458001</v>
      </c>
      <c r="I64" s="17">
        <f>E64/C64-1</f>
        <v>0.33499014433036023</v>
      </c>
      <c r="J64" s="21">
        <f>E64-D64</f>
        <v>-97.804625115008093</v>
      </c>
      <c r="K64" s="22">
        <f>E64/D64-1</f>
        <v>-6.0622948986710501E-4</v>
      </c>
      <c r="L64" s="29">
        <f>HYPERLINK("[N Only Old retention.xlsx]'Coastal N Reductions'!D23", 5.52304450015012)</f>
        <v>5.5230445001501201</v>
      </c>
      <c r="M64" s="29">
        <f>HYPERLINK("[N Only New retention.xlsx]'Coastal N Reductions'!D23", 5.48783110868387)</f>
        <v>5.4878311086838698</v>
      </c>
      <c r="N64" s="29">
        <f>HYPERLINK("[N Only with New retention and Differentiation.xlsx]'Coastal N Reductions'!D23", 5.49937401623906)</f>
        <v>5.4993740162390603</v>
      </c>
    </row>
    <row r="65" spans="1:14" x14ac:dyDescent="0.55000000000000004">
      <c r="A65" s="30">
        <v>128</v>
      </c>
      <c r="B65" s="6" t="s">
        <v>216</v>
      </c>
      <c r="C65" s="26">
        <f>HYPERLINK("[N Only Old retention.xlsx]'Coastal N Reductions'!C24", 5742942.89926293)</f>
        <v>5742942.8992629303</v>
      </c>
      <c r="D65" s="26">
        <f>HYPERLINK("[N Only New retention.xlsx]'Coastal N Reductions'!C24", 6930452.22509897)</f>
        <v>6930452.2250989703</v>
      </c>
      <c r="E65" s="26">
        <f>HYPERLINK("[N Only with New retention and Differentiation.xlsx]'Coastal N Reductions'!C24", 6929437.19607835)</f>
        <v>6929437.1960783498</v>
      </c>
      <c r="F65" s="16">
        <f>D65-C65</f>
        <v>1187509.3258360401</v>
      </c>
      <c r="G65" s="17">
        <f>D65/C65-1</f>
        <v>0.20677714312438122</v>
      </c>
      <c r="H65" s="16">
        <f>E65-C65</f>
        <v>1186494.2968154196</v>
      </c>
      <c r="I65" s="17">
        <f>E65/C65-1</f>
        <v>0.20660039941676911</v>
      </c>
      <c r="J65" s="21">
        <f>E65-D65</f>
        <v>-1015.02902062051</v>
      </c>
      <c r="K65" s="22">
        <f>E65/D65-1</f>
        <v>-1.4645927677625625E-4</v>
      </c>
      <c r="L65" s="27">
        <f>HYPERLINK("[N Only Old retention.xlsx]'Coastal N Reductions'!D24", 230.839306576022)</f>
        <v>230.83930657602201</v>
      </c>
      <c r="M65" s="27">
        <f>HYPERLINK("[N Only New retention.xlsx]'Coastal N Reductions'!D24", 230.840323259308)</f>
        <v>230.84032325930801</v>
      </c>
      <c r="N65" s="27">
        <f>HYPERLINK("[N Only with New retention and Differentiation.xlsx]'Coastal N Reductions'!D24", 230.835363972867)</f>
        <v>230.83536397286699</v>
      </c>
    </row>
    <row r="66" spans="1:14" x14ac:dyDescent="0.55000000000000004">
      <c r="A66" s="31">
        <v>129</v>
      </c>
      <c r="B66" s="5" t="s">
        <v>217</v>
      </c>
      <c r="C66" s="28">
        <f>HYPERLINK("[N Only Old retention.xlsx]'Coastal N Reductions'!C25", 2780400.64041169)</f>
        <v>2780400.6404116899</v>
      </c>
      <c r="D66" s="28">
        <f>HYPERLINK("[N Only New retention.xlsx]'Coastal N Reductions'!C25", 3652795.46891534)</f>
        <v>3652795.46891534</v>
      </c>
      <c r="E66" s="28">
        <f>HYPERLINK("[N Only with New retention and Differentiation.xlsx]'Coastal N Reductions'!C25", 3740946.39885598)</f>
        <v>3740946.39885598</v>
      </c>
      <c r="F66" s="16">
        <f>D66-C66</f>
        <v>872394.82850365015</v>
      </c>
      <c r="G66" s="17">
        <f>D66/C66-1</f>
        <v>0.31376587094098629</v>
      </c>
      <c r="H66" s="16">
        <f>E66-C66</f>
        <v>960545.75844429014</v>
      </c>
      <c r="I66" s="17">
        <f>E66/C66-1</f>
        <v>0.3454702694580245</v>
      </c>
      <c r="J66" s="16">
        <f>E66-D66</f>
        <v>88150.929940639995</v>
      </c>
      <c r="K66" s="17">
        <f>E66/D66-1</f>
        <v>2.4132457097800541E-2</v>
      </c>
      <c r="L66" s="29">
        <f>HYPERLINK("[N Only Old retention.xlsx]'Coastal N Reductions'!D25", 129.452180831217)</f>
        <v>129.45218083121699</v>
      </c>
      <c r="M66" s="29">
        <f>HYPERLINK("[N Only New retention.xlsx]'Coastal N Reductions'!D25", 129.452413523477)</f>
        <v>129.45241352347699</v>
      </c>
      <c r="N66" s="29">
        <f>HYPERLINK("[N Only with New retention and Differentiation.xlsx]'Coastal N Reductions'!D25", 129.452130051494)</f>
        <v>129.45213005149401</v>
      </c>
    </row>
    <row r="67" spans="1:14" x14ac:dyDescent="0.55000000000000004">
      <c r="A67" s="30">
        <v>130</v>
      </c>
      <c r="B67" s="6" t="s">
        <v>218</v>
      </c>
      <c r="C67" s="26">
        <f>HYPERLINK("[N Only Old retention.xlsx]'Coastal N Reductions'!C26", 709802.806926285)</f>
        <v>709802.80692628503</v>
      </c>
      <c r="D67" s="26">
        <f>HYPERLINK("[N Only New retention.xlsx]'Coastal N Reductions'!C26", 746863.744087521)</f>
        <v>746863.74408752099</v>
      </c>
      <c r="E67" s="26">
        <f>HYPERLINK("[N Only with New retention and Differentiation.xlsx]'Coastal N Reductions'!C26", 765571.857472074)</f>
        <v>765571.85747207399</v>
      </c>
      <c r="F67" s="16">
        <f>D67-C67</f>
        <v>37060.937161235954</v>
      </c>
      <c r="G67" s="17">
        <f>D67/C67-1</f>
        <v>5.2213004512793981E-2</v>
      </c>
      <c r="H67" s="16">
        <f>E67-C67</f>
        <v>55769.050545788952</v>
      </c>
      <c r="I67" s="17">
        <f>E67/C67-1</f>
        <v>7.8569780228525898E-2</v>
      </c>
      <c r="J67" s="16">
        <f>E67-D67</f>
        <v>18708.113384552998</v>
      </c>
      <c r="K67" s="17">
        <f>E67/D67-1</f>
        <v>2.5048897516654289E-2</v>
      </c>
      <c r="L67" s="27">
        <f>HYPERLINK("[N Only Old retention.xlsx]'Coastal N Reductions'!D26", 43.861898469909)</f>
        <v>43.861898469909001</v>
      </c>
      <c r="M67" s="27">
        <f>HYPERLINK("[N Only New retention.xlsx]'Coastal N Reductions'!D26", 43.8848541588831)</f>
        <v>43.884854158883101</v>
      </c>
      <c r="N67" s="27">
        <f>HYPERLINK("[N Only with New retention and Differentiation.xlsx]'Coastal N Reductions'!D26", 43.8826478271809)</f>
        <v>43.882647827180897</v>
      </c>
    </row>
    <row r="68" spans="1:14" x14ac:dyDescent="0.55000000000000004">
      <c r="A68" s="31">
        <v>131</v>
      </c>
      <c r="B68" s="5" t="s">
        <v>219</v>
      </c>
      <c r="C68" s="28">
        <f>HYPERLINK("[N Only Old retention.xlsx]'Coastal N Reductions'!C27", 9970128.60792973)</f>
        <v>9970128.6079297308</v>
      </c>
      <c r="D68" s="28">
        <f>HYPERLINK("[N Only New retention.xlsx]'Coastal N Reductions'!C27", 7121924.44773929)</f>
        <v>7121924.4477392901</v>
      </c>
      <c r="E68" s="28">
        <f>HYPERLINK("[N Only with New retention and Differentiation.xlsx]'Coastal N Reductions'!C27", 7599430.85384393)</f>
        <v>7599430.8538439302</v>
      </c>
      <c r="F68" s="21">
        <f>D68-C68</f>
        <v>-2848204.1601904407</v>
      </c>
      <c r="G68" s="22">
        <f>D68/C68-1</f>
        <v>-0.28567376331786976</v>
      </c>
      <c r="H68" s="21">
        <f>E68-C68</f>
        <v>-2370697.7540858006</v>
      </c>
      <c r="I68" s="22">
        <f>E68/C68-1</f>
        <v>-0.2377800575411102</v>
      </c>
      <c r="J68" s="16">
        <f>E68-D68</f>
        <v>477506.4061046401</v>
      </c>
      <c r="K68" s="17">
        <f>E68/D68-1</f>
        <v>6.7047384398498444E-2</v>
      </c>
      <c r="L68" s="29">
        <f>HYPERLINK("[N Only Old retention.xlsx]'Coastal N Reductions'!D27", 471.5595669539)</f>
        <v>471.5595669539</v>
      </c>
      <c r="M68" s="29">
        <f>HYPERLINK("[N Only New retention.xlsx]'Coastal N Reductions'!D27", 471.55893023929)</f>
        <v>471.55893023929002</v>
      </c>
      <c r="N68" s="29">
        <f>HYPERLINK("[N Only with New retention and Differentiation.xlsx]'Coastal N Reductions'!D27", 471.558810914658)</f>
        <v>471.55881091465801</v>
      </c>
    </row>
    <row r="69" spans="1:14" x14ac:dyDescent="0.55000000000000004">
      <c r="A69" s="30">
        <v>132</v>
      </c>
      <c r="B69" s="6" t="s">
        <v>220</v>
      </c>
      <c r="C69" s="26">
        <f>HYPERLINK("[N Only Old retention.xlsx]'Coastal N Reductions'!C28", 46377630.6069197)</f>
        <v>46377630.606919698</v>
      </c>
      <c r="D69" s="26">
        <f>HYPERLINK("[N Only New retention.xlsx]'Coastal N Reductions'!C28", 35925183.4722959)</f>
        <v>35925183.472295903</v>
      </c>
      <c r="E69" s="26">
        <f>HYPERLINK("[N Only with New retention and Differentiation.xlsx]'Coastal N Reductions'!C28", 36779101.6884781)</f>
        <v>36779101.688478097</v>
      </c>
      <c r="F69" s="21">
        <f>D69-C69</f>
        <v>-10452447.134623796</v>
      </c>
      <c r="G69" s="22">
        <f>D69/C69-1</f>
        <v>-0.22537691119270453</v>
      </c>
      <c r="H69" s="21">
        <f>E69-C69</f>
        <v>-9598528.9184416011</v>
      </c>
      <c r="I69" s="22">
        <f>E69/C69-1</f>
        <v>-0.20696462481654831</v>
      </c>
      <c r="J69" s="16">
        <f>E69-D69</f>
        <v>853918.21618219465</v>
      </c>
      <c r="K69" s="17">
        <f>E69/D69-1</f>
        <v>2.3769348786783606E-2</v>
      </c>
      <c r="L69" s="27">
        <f>HYPERLINK("[N Only Old retention.xlsx]'Coastal N Reductions'!D28", 1685.75414888761)</f>
        <v>1685.75414888761</v>
      </c>
      <c r="M69" s="27">
        <f>HYPERLINK("[N Only New retention.xlsx]'Coastal N Reductions'!D28", 1685.75418113528)</f>
        <v>1685.7541811352801</v>
      </c>
      <c r="N69" s="27">
        <f>HYPERLINK("[N Only with New retention and Differentiation.xlsx]'Coastal N Reductions'!D28", 1685.75431466545)</f>
        <v>1685.75431466545</v>
      </c>
    </row>
    <row r="70" spans="1:14" x14ac:dyDescent="0.55000000000000004">
      <c r="A70" s="31">
        <v>133</v>
      </c>
      <c r="B70" s="5" t="s">
        <v>221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55000000000000004">
      <c r="A71" s="30">
        <v>136</v>
      </c>
      <c r="B71" s="6" t="s">
        <v>222</v>
      </c>
      <c r="C71" s="26">
        <f>HYPERLINK("[N Only Old retention.xlsx]'Coastal N Reductions'!C30", 6366814.25847898)</f>
        <v>6366814.2584789796</v>
      </c>
      <c r="D71" s="26">
        <f>HYPERLINK("[N Only New retention.xlsx]'Coastal N Reductions'!C30", 5278306.68768582)</f>
        <v>5278306.6876858203</v>
      </c>
      <c r="E71" s="26">
        <f>HYPERLINK("[N Only with New retention and Differentiation.xlsx]'Coastal N Reductions'!C30", 5269419.24236099)</f>
        <v>5269419.2423609896</v>
      </c>
      <c r="F71" s="21">
        <f>D71-C71</f>
        <v>-1088507.5707931593</v>
      </c>
      <c r="G71" s="22">
        <f>D71/C71-1</f>
        <v>-0.17096581219462204</v>
      </c>
      <c r="H71" s="21">
        <f>E71-C71</f>
        <v>-1097395.01611799</v>
      </c>
      <c r="I71" s="22">
        <f>E71/C71-1</f>
        <v>-0.1723617136555442</v>
      </c>
      <c r="J71" s="21">
        <f>E71-D71</f>
        <v>-8887.4453248307109</v>
      </c>
      <c r="K71" s="22">
        <f>E71/D71-1</f>
        <v>-1.683768270904884E-3</v>
      </c>
      <c r="L71" s="27">
        <f>HYPERLINK("[N Only Old retention.xlsx]'Coastal N Reductions'!D30", 348.874353524034)</f>
        <v>348.87435352403401</v>
      </c>
      <c r="M71" s="27">
        <f>HYPERLINK("[N Only New retention.xlsx]'Coastal N Reductions'!D30", 348.873847514726)</f>
        <v>348.87384751472598</v>
      </c>
      <c r="N71" s="27">
        <f>HYPERLINK("[N Only with New retention and Differentiation.xlsx]'Coastal N Reductions'!D30", 348.871738199053)</f>
        <v>348.87173819905303</v>
      </c>
    </row>
    <row r="72" spans="1:14" x14ac:dyDescent="0.55000000000000004">
      <c r="A72" s="31">
        <v>137</v>
      </c>
      <c r="B72" s="5" t="s">
        <v>223</v>
      </c>
      <c r="C72" s="28">
        <f>HYPERLINK("[N Only Old retention.xlsx]'Coastal N Reductions'!C31", 282330.825402425)</f>
        <v>282330.82540242502</v>
      </c>
      <c r="D72" s="28">
        <f>HYPERLINK("[N Only New retention.xlsx]'Coastal N Reductions'!C31", 206430.619216402)</f>
        <v>206430.619216402</v>
      </c>
      <c r="E72" s="28">
        <f>HYPERLINK("[N Only with New retention and Differentiation.xlsx]'Coastal N Reductions'!C31", 207015.651503378)</f>
        <v>207015.651503378</v>
      </c>
      <c r="F72" s="21">
        <f>D72-C72</f>
        <v>-75900.206186023017</v>
      </c>
      <c r="G72" s="22">
        <f>D72/C72-1</f>
        <v>-0.26883428714465507</v>
      </c>
      <c r="H72" s="21">
        <f>E72-C72</f>
        <v>-75315.173899047018</v>
      </c>
      <c r="I72" s="22">
        <f>E72/C72-1</f>
        <v>-0.26676213549014793</v>
      </c>
      <c r="J72" s="16">
        <f>E72-D72</f>
        <v>585.03228697599843</v>
      </c>
      <c r="K72" s="17">
        <f>E72/D72-1</f>
        <v>2.834038328212829E-3</v>
      </c>
      <c r="L72" s="29">
        <f>HYPERLINK("[N Only Old retention.xlsx]'Coastal N Reductions'!D31", 23.610390298397)</f>
        <v>23.610390298397</v>
      </c>
      <c r="M72" s="29">
        <f>HYPERLINK("[N Only New retention.xlsx]'Coastal N Reductions'!D31", 23.5693026218671)</f>
        <v>23.569302621867099</v>
      </c>
      <c r="N72" s="29">
        <f>HYPERLINK("[N Only with New retention and Differentiation.xlsx]'Coastal N Reductions'!D31", 23.6412348482139)</f>
        <v>23.641234848213902</v>
      </c>
    </row>
    <row r="73" spans="1:14" x14ac:dyDescent="0.55000000000000004">
      <c r="A73" s="30">
        <v>138</v>
      </c>
      <c r="B73" s="6" t="s">
        <v>224</v>
      </c>
      <c r="C73" s="18"/>
      <c r="D73" s="18"/>
      <c r="E73" s="18"/>
      <c r="F73" s="13"/>
      <c r="G73" s="18"/>
      <c r="H73" s="13"/>
      <c r="I73" s="18"/>
      <c r="J73" s="13"/>
      <c r="K73" s="18"/>
      <c r="L73" s="18"/>
      <c r="M73" s="18"/>
      <c r="N73" s="18"/>
    </row>
    <row r="74" spans="1:14" x14ac:dyDescent="0.55000000000000004">
      <c r="A74" s="31">
        <v>139</v>
      </c>
      <c r="B74" s="5" t="s">
        <v>225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55000000000000004">
      <c r="A75" s="30">
        <v>140</v>
      </c>
      <c r="B75" s="6" t="s">
        <v>226</v>
      </c>
      <c r="C75" s="26">
        <f>HYPERLINK("[N Only Old retention.xlsx]'Coastal N Reductions'!C34", 2444955.4685589)</f>
        <v>2444955.4685589001</v>
      </c>
      <c r="D75" s="26">
        <f>HYPERLINK("[N Only New retention.xlsx]'Coastal N Reductions'!C34", 1218940.45727244)</f>
        <v>1218940.45727244</v>
      </c>
      <c r="E75" s="26">
        <f>HYPERLINK("[N Only with New retention and Differentiation.xlsx]'Coastal N Reductions'!C34", 1218967.81986363)</f>
        <v>1218967.81986363</v>
      </c>
      <c r="F75" s="21">
        <f>D75-C75</f>
        <v>-1226015.0112864601</v>
      </c>
      <c r="G75" s="22">
        <f>D75/C75-1</f>
        <v>-0.50144676541249855</v>
      </c>
      <c r="H75" s="21">
        <f>E75-C75</f>
        <v>-1225987.6486952701</v>
      </c>
      <c r="I75" s="22">
        <f>E75/C75-1</f>
        <v>-0.50143557396482508</v>
      </c>
      <c r="J75" s="16">
        <f>E75-D75</f>
        <v>27.362591190030798</v>
      </c>
      <c r="K75" s="17">
        <f>E75/D75-1</f>
        <v>2.2447848889495248E-5</v>
      </c>
      <c r="L75" s="27">
        <f>HYPERLINK("[N Only Old retention.xlsx]'Coastal N Reductions'!D34", 108.276055405478)</f>
        <v>108.276055405478</v>
      </c>
      <c r="M75" s="27">
        <f>HYPERLINK("[N Only New retention.xlsx]'Coastal N Reductions'!D34", 108.275828432754)</f>
        <v>108.275828432754</v>
      </c>
      <c r="N75" s="27">
        <f>HYPERLINK("[N Only with New retention and Differentiation.xlsx]'Coastal N Reductions'!D34", 108.275714696507)</f>
        <v>108.27571469650699</v>
      </c>
    </row>
    <row r="76" spans="1:14" x14ac:dyDescent="0.55000000000000004">
      <c r="A76" s="31">
        <v>141</v>
      </c>
      <c r="B76" s="5" t="s">
        <v>227</v>
      </c>
      <c r="C76" s="28">
        <f>HYPERLINK("[N Only Old retention.xlsx]'Coastal N Reductions'!C35", 8678.34606453736)</f>
        <v>8678.3460645373598</v>
      </c>
      <c r="D76" s="28">
        <f>HYPERLINK("[N Only New retention.xlsx]'Coastal N Reductions'!C35", 5868.92729994673)</f>
        <v>5868.9272999467303</v>
      </c>
      <c r="E76" s="28">
        <f>HYPERLINK("[N Only with New retention and Differentiation.xlsx]'Coastal N Reductions'!C35", 5868.92729994673)</f>
        <v>5868.9272999467303</v>
      </c>
      <c r="F76" s="21">
        <f>D76-C76</f>
        <v>-2809.4187645906295</v>
      </c>
      <c r="G76" s="22">
        <f>D76/C76-1</f>
        <v>-0.32372744111586649</v>
      </c>
      <c r="H76" s="21">
        <f>E76-C76</f>
        <v>-2809.4187645906295</v>
      </c>
      <c r="I76" s="22">
        <f>E76/C76-1</f>
        <v>-0.32372744111586649</v>
      </c>
      <c r="J76" s="13"/>
      <c r="K76" s="13"/>
      <c r="L76" s="29">
        <f>HYPERLINK("[N Only Old retention.xlsx]'Coastal N Reductions'!D35", 0.525061092622693)</f>
        <v>0.52506109262269296</v>
      </c>
      <c r="M76" s="29">
        <f>HYPERLINK("[N Only New retention.xlsx]'Coastal N Reductions'!D35", 0.533191467090029)</f>
        <v>0.53319146709002896</v>
      </c>
      <c r="N76" s="29">
        <f>HYPERLINK("[N Only with New retention and Differentiation.xlsx]'Coastal N Reductions'!D35", 0.533191467090029)</f>
        <v>0.53319146709002896</v>
      </c>
    </row>
    <row r="77" spans="1:14" x14ac:dyDescent="0.55000000000000004">
      <c r="A77" s="30">
        <v>142</v>
      </c>
      <c r="B77" s="6" t="s">
        <v>228</v>
      </c>
      <c r="C77" s="26">
        <f>HYPERLINK("[N Only Old retention.xlsx]'Coastal N Reductions'!C36", 31289.4363897823)</f>
        <v>31289.436389782299</v>
      </c>
      <c r="D77" s="26">
        <f>HYPERLINK("[N Only New retention.xlsx]'Coastal N Reductions'!C36", 28326.4350898962)</f>
        <v>28326.4350898962</v>
      </c>
      <c r="E77" s="26">
        <f>HYPERLINK("[N Only with New retention and Differentiation.xlsx]'Coastal N Reductions'!C36", 28675.6481031329)</f>
        <v>28675.648103132899</v>
      </c>
      <c r="F77" s="21">
        <f>D77-C77</f>
        <v>-2963.0012998860984</v>
      </c>
      <c r="G77" s="22">
        <f>D77/C77-1</f>
        <v>-9.4696537929768509E-2</v>
      </c>
      <c r="H77" s="21">
        <f>E77-C77</f>
        <v>-2613.7882866494001</v>
      </c>
      <c r="I77" s="22">
        <f>E77/C77-1</f>
        <v>-8.3535805953441344E-2</v>
      </c>
      <c r="J77" s="16">
        <f>E77-D77</f>
        <v>349.21301323669832</v>
      </c>
      <c r="K77" s="17">
        <f>E77/D77-1</f>
        <v>1.2328166679938413E-2</v>
      </c>
      <c r="L77" s="27">
        <f>HYPERLINK("[N Only Old retention.xlsx]'Coastal N Reductions'!D36", 0.991865665426082)</f>
        <v>0.99186566542608201</v>
      </c>
      <c r="M77" s="27">
        <f>HYPERLINK("[N Only New retention.xlsx]'Coastal N Reductions'!D36", 0.984035166489186)</f>
        <v>0.98403516648918599</v>
      </c>
      <c r="N77" s="27">
        <f>HYPERLINK("[N Only with New retention and Differentiation.xlsx]'Coastal N Reductions'!D36", 1.00178215724397)</f>
        <v>1.00178215724397</v>
      </c>
    </row>
    <row r="78" spans="1:14" x14ac:dyDescent="0.55000000000000004">
      <c r="A78" s="31">
        <v>144</v>
      </c>
      <c r="B78" s="5" t="s">
        <v>229</v>
      </c>
      <c r="C78" s="28">
        <f>HYPERLINK("[N Only Old retention.xlsx]'Coastal N Reductions'!C37", 81186.009104313)</f>
        <v>81186.009104312994</v>
      </c>
      <c r="D78" s="28">
        <f>HYPERLINK("[N Only New retention.xlsx]'Coastal N Reductions'!C37", 45093.3288351832)</f>
        <v>45093.328835183202</v>
      </c>
      <c r="E78" s="28">
        <f>HYPERLINK("[N Only with New retention and Differentiation.xlsx]'Coastal N Reductions'!C37", 44968.9534093129)</f>
        <v>44968.953409312897</v>
      </c>
      <c r="F78" s="21">
        <f>D78-C78</f>
        <v>-36092.680269129793</v>
      </c>
      <c r="G78" s="22">
        <f>D78/C78-1</f>
        <v>-0.44456773608314215</v>
      </c>
      <c r="H78" s="21">
        <f>E78-C78</f>
        <v>-36217.055695000097</v>
      </c>
      <c r="I78" s="22">
        <f>E78/C78-1</f>
        <v>-0.44609971711340191</v>
      </c>
      <c r="J78" s="21">
        <f>E78-D78</f>
        <v>-124.37542587030475</v>
      </c>
      <c r="K78" s="22">
        <f>E78/D78-1</f>
        <v>-2.758177962973174E-3</v>
      </c>
      <c r="L78" s="29">
        <f>HYPERLINK("[N Only Old retention.xlsx]'Coastal N Reductions'!D37", 3.1111992924232)</f>
        <v>3.1111992924231999</v>
      </c>
      <c r="M78" s="29">
        <f>HYPERLINK("[N Only New retention.xlsx]'Coastal N Reductions'!D37", 3.07722589326868)</f>
        <v>3.0772258932686798</v>
      </c>
      <c r="N78" s="29">
        <f>HYPERLINK("[N Only with New retention and Differentiation.xlsx]'Coastal N Reductions'!D37", 3.0571582816384)</f>
        <v>3.0571582816384</v>
      </c>
    </row>
    <row r="79" spans="1:14" x14ac:dyDescent="0.55000000000000004">
      <c r="A79" s="30">
        <v>145</v>
      </c>
      <c r="B79" s="6" t="s">
        <v>230</v>
      </c>
      <c r="C79" s="18"/>
      <c r="D79" s="18"/>
      <c r="E79" s="18"/>
      <c r="F79" s="13"/>
      <c r="G79" s="18"/>
      <c r="H79" s="13"/>
      <c r="I79" s="18"/>
      <c r="J79" s="13"/>
      <c r="K79" s="18"/>
      <c r="L79" s="18"/>
      <c r="M79" s="18"/>
      <c r="N79" s="18"/>
    </row>
    <row r="80" spans="1:14" x14ac:dyDescent="0.55000000000000004">
      <c r="A80" s="31">
        <v>146</v>
      </c>
      <c r="B80" s="5" t="s">
        <v>231</v>
      </c>
      <c r="C80" s="28">
        <f>HYPERLINK("[N Only Old retention.xlsx]'Coastal N Reductions'!C39", 389094.546096089)</f>
        <v>389094.54609608901</v>
      </c>
      <c r="D80" s="28">
        <f>HYPERLINK("[N Only New retention.xlsx]'Coastal N Reductions'!C39", 395292.916708229)</f>
        <v>395292.91670822899</v>
      </c>
      <c r="E80" s="28">
        <f>HYPERLINK("[N Only with New retention and Differentiation.xlsx]'Coastal N Reductions'!C39", 386194.977568949)</f>
        <v>386194.97756894899</v>
      </c>
      <c r="F80" s="16">
        <f>D80-C80</f>
        <v>6198.3706121399882</v>
      </c>
      <c r="G80" s="17">
        <f>D80/C80-1</f>
        <v>1.593024285313227E-2</v>
      </c>
      <c r="H80" s="21">
        <f>E80-C80</f>
        <v>-2899.5685271400143</v>
      </c>
      <c r="I80" s="22">
        <f>E80/C80-1</f>
        <v>-7.4520924444516634E-3</v>
      </c>
      <c r="J80" s="21">
        <f>E80-D80</f>
        <v>-9097.9391392800026</v>
      </c>
      <c r="K80" s="22">
        <f>E80/D80-1</f>
        <v>-2.3015689770113701E-2</v>
      </c>
      <c r="L80" s="29">
        <f>HYPERLINK("[N Only Old retention.xlsx]'Coastal N Reductions'!D39", 17.4020730703429)</f>
        <v>17.402073070342901</v>
      </c>
      <c r="M80" s="29">
        <f>HYPERLINK("[N Only New retention.xlsx]'Coastal N Reductions'!D39", 17.3074992914728)</f>
        <v>17.307499291472801</v>
      </c>
      <c r="N80" s="29">
        <f>HYPERLINK("[N Only with New retention and Differentiation.xlsx]'Coastal N Reductions'!D39", 17.2990902078962)</f>
        <v>17.299090207896199</v>
      </c>
    </row>
    <row r="81" spans="1:14" x14ac:dyDescent="0.55000000000000004">
      <c r="A81" s="30">
        <v>147</v>
      </c>
      <c r="B81" s="6" t="s">
        <v>232</v>
      </c>
      <c r="C81" s="18"/>
      <c r="D81" s="18"/>
      <c r="E81" s="18"/>
      <c r="F81" s="13"/>
      <c r="G81" s="18"/>
      <c r="H81" s="13"/>
      <c r="I81" s="18"/>
      <c r="J81" s="13"/>
      <c r="K81" s="18"/>
      <c r="L81" s="18"/>
      <c r="M81" s="18"/>
      <c r="N81" s="18"/>
    </row>
    <row r="82" spans="1:14" x14ac:dyDescent="0.55000000000000004">
      <c r="A82" s="31">
        <v>154</v>
      </c>
      <c r="B82" s="5" t="s">
        <v>233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55000000000000004">
      <c r="A83" s="30">
        <v>157</v>
      </c>
      <c r="B83" s="6" t="s">
        <v>234</v>
      </c>
      <c r="C83" s="26">
        <f>HYPERLINK("[N Only Old retention.xlsx]'Coastal N Reductions'!C42", 18077415.2083449)</f>
        <v>18077415.208344899</v>
      </c>
      <c r="D83" s="26">
        <f>HYPERLINK("[N Only New retention.xlsx]'Coastal N Reductions'!C42", 17076635.4481003)</f>
        <v>17076635.448100299</v>
      </c>
      <c r="E83" s="26">
        <f>HYPERLINK("[N Only with New retention and Differentiation.xlsx]'Coastal N Reductions'!C42", 17134962.4651084)</f>
        <v>17134962.465108398</v>
      </c>
      <c r="F83" s="21">
        <f>D83-C83</f>
        <v>-1000779.7602446005</v>
      </c>
      <c r="G83" s="22">
        <f>D83/C83-1</f>
        <v>-5.5360777451337162E-2</v>
      </c>
      <c r="H83" s="21">
        <f>E83-C83</f>
        <v>-942452.74323650077</v>
      </c>
      <c r="I83" s="22">
        <f>E83/C83-1</f>
        <v>-5.2134264349996573E-2</v>
      </c>
      <c r="J83" s="16">
        <f>E83-D83</f>
        <v>58327.017008099705</v>
      </c>
      <c r="K83" s="17">
        <f>E83/D83-1</f>
        <v>3.4156035704673293E-3</v>
      </c>
      <c r="L83" s="27">
        <f>HYPERLINK("[N Only Old retention.xlsx]'Coastal N Reductions'!D42", 572.56652216498)</f>
        <v>572.56652216498003</v>
      </c>
      <c r="M83" s="27">
        <f>HYPERLINK("[N Only New retention.xlsx]'Coastal N Reductions'!D42", 572.566797258622)</f>
        <v>572.56679725862205</v>
      </c>
      <c r="N83" s="27">
        <f>HYPERLINK("[N Only with New retention and Differentiation.xlsx]'Coastal N Reductions'!D42", 572.566174703545)</f>
        <v>572.56617470354502</v>
      </c>
    </row>
    <row r="84" spans="1:14" x14ac:dyDescent="0.55000000000000004">
      <c r="A84" s="31">
        <v>158</v>
      </c>
      <c r="B84" s="5" t="s">
        <v>235</v>
      </c>
      <c r="C84" s="28">
        <f>HYPERLINK("[N Only Old retention.xlsx]'Coastal N Reductions'!C43", 28904636.2554744)</f>
        <v>28904636.2554744</v>
      </c>
      <c r="D84" s="28">
        <f>HYPERLINK("[N Only New retention.xlsx]'Coastal N Reductions'!C43", 26444777.420597)</f>
        <v>26444777.420596998</v>
      </c>
      <c r="E84" s="28">
        <f>HYPERLINK("[N Only with New retention and Differentiation.xlsx]'Coastal N Reductions'!C43", 26444418.0132146)</f>
        <v>26444418.013214599</v>
      </c>
      <c r="F84" s="21">
        <f>D84-C84</f>
        <v>-2459858.8348774016</v>
      </c>
      <c r="G84" s="22">
        <f>D84/C84-1</f>
        <v>-8.5102570159882762E-2</v>
      </c>
      <c r="H84" s="21">
        <f>E84-C84</f>
        <v>-2460218.2422598004</v>
      </c>
      <c r="I84" s="22">
        <f>E84/C84-1</f>
        <v>-8.5115004406735806E-2</v>
      </c>
      <c r="J84" s="21">
        <f>E84-D84</f>
        <v>-359.40738239884377</v>
      </c>
      <c r="K84" s="22">
        <f>E84/D84-1</f>
        <v>-1.3590864339052544E-5</v>
      </c>
      <c r="L84" s="29">
        <f>HYPERLINK("[N Only Old retention.xlsx]'Coastal N Reductions'!D43", 873.898191939789)</f>
        <v>873.89819193978894</v>
      </c>
      <c r="M84" s="29">
        <f>HYPERLINK("[N Only New retention.xlsx]'Coastal N Reductions'!D43", 873.898106301426)</f>
        <v>873.89810630142597</v>
      </c>
      <c r="N84" s="29">
        <f>HYPERLINK("[N Only with New retention and Differentiation.xlsx]'Coastal N Reductions'!D43", 873.898269797089)</f>
        <v>873.89826979708903</v>
      </c>
    </row>
    <row r="85" spans="1:14" x14ac:dyDescent="0.55000000000000004">
      <c r="A85" s="30">
        <v>159</v>
      </c>
      <c r="B85" s="6" t="s">
        <v>236</v>
      </c>
      <c r="C85" s="26">
        <f>HYPERLINK("[N Only Old retention.xlsx]'Coastal N Reductions'!C44", 7367951.86804111)</f>
        <v>7367951.8680411102</v>
      </c>
      <c r="D85" s="26">
        <f>HYPERLINK("[N Only New retention.xlsx]'Coastal N Reductions'!C44", 3562170.36445906)</f>
        <v>3562170.3644590601</v>
      </c>
      <c r="E85" s="26">
        <f>HYPERLINK("[N Only with New retention and Differentiation.xlsx]'Coastal N Reductions'!C44", 3561184.8726404)</f>
        <v>3561184.8726404002</v>
      </c>
      <c r="F85" s="21">
        <f>D85-C85</f>
        <v>-3805781.5035820501</v>
      </c>
      <c r="G85" s="22">
        <f>D85/C85-1</f>
        <v>-0.51653180853282077</v>
      </c>
      <c r="H85" s="21">
        <f>E85-C85</f>
        <v>-3806766.99540071</v>
      </c>
      <c r="I85" s="22">
        <f>E85/C85-1</f>
        <v>-0.51666556236784977</v>
      </c>
      <c r="J85" s="21">
        <f>E85-D85</f>
        <v>-985.49181865993887</v>
      </c>
      <c r="K85" s="22">
        <f>E85/D85-1</f>
        <v>-2.7665488110628633E-4</v>
      </c>
      <c r="L85" s="27">
        <f>HYPERLINK("[N Only Old retention.xlsx]'Coastal N Reductions'!D44", 216.766121732092)</f>
        <v>216.76612173209199</v>
      </c>
      <c r="M85" s="27">
        <f>HYPERLINK("[N Only New retention.xlsx]'Coastal N Reductions'!D44", 216.765459904766)</f>
        <v>216.765459904766</v>
      </c>
      <c r="N85" s="27">
        <f>HYPERLINK("[N Only with New retention and Differentiation.xlsx]'Coastal N Reductions'!D44", 216.764925013426)</f>
        <v>216.76492501342599</v>
      </c>
    </row>
    <row r="86" spans="1:14" x14ac:dyDescent="0.55000000000000004">
      <c r="A86" s="31">
        <v>160</v>
      </c>
      <c r="B86" s="5" t="s">
        <v>237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55000000000000004">
      <c r="A87" s="30">
        <v>165</v>
      </c>
      <c r="B87" s="6" t="s">
        <v>238</v>
      </c>
      <c r="C87" s="26">
        <f>HYPERLINK("[N Only Old retention.xlsx]'Coastal N Reductions'!C47", 26018045.7480687)</f>
        <v>26018045.748068701</v>
      </c>
      <c r="D87" s="26">
        <f>HYPERLINK("[N Only New retention.xlsx]'Coastal N Reductions'!C47", 31014490.9952174)</f>
        <v>31014490.995217402</v>
      </c>
      <c r="E87" s="26">
        <f>HYPERLINK("[N Only with New retention and Differentiation.xlsx]'Coastal N Reductions'!C47", 29996566.4776356)</f>
        <v>29996566.4776356</v>
      </c>
      <c r="F87" s="16">
        <f>D87-C87</f>
        <v>4996445.2471487001</v>
      </c>
      <c r="G87" s="17">
        <f>D87/C87-1</f>
        <v>0.19203768398014986</v>
      </c>
      <c r="H87" s="16">
        <f>E87-C87</f>
        <v>3978520.7295668982</v>
      </c>
      <c r="I87" s="17">
        <f>E87/C87-1</f>
        <v>0.15291389553584067</v>
      </c>
      <c r="J87" s="21">
        <f>E87-D87</f>
        <v>-1017924.5175818019</v>
      </c>
      <c r="K87" s="22">
        <f>E87/D87-1</f>
        <v>-3.2820932567900973E-2</v>
      </c>
      <c r="L87" s="27">
        <f>HYPERLINK("[N Only Old retention.xlsx]'Coastal N Reductions'!D47", 542.867678207614)</f>
        <v>542.86767820761395</v>
      </c>
      <c r="M87" s="27">
        <f>HYPERLINK("[N Only New retention.xlsx]'Coastal N Reductions'!D47", 542.869422530165)</f>
        <v>542.86942253016502</v>
      </c>
      <c r="N87" s="27">
        <f>HYPERLINK("[N Only with New retention and Differentiation.xlsx]'Coastal N Reductions'!D47", 542.86702150272)</f>
        <v>542.86702150272004</v>
      </c>
    </row>
    <row r="88" spans="1:14" x14ac:dyDescent="0.55000000000000004">
      <c r="A88" s="31">
        <v>200</v>
      </c>
      <c r="B88" s="5" t="s">
        <v>239</v>
      </c>
      <c r="C88" s="28">
        <f>HYPERLINK("[N Only Old retention.xlsx]'Coastal N Reductions'!C51", 3989175.46859663)</f>
        <v>3989175.4685966298</v>
      </c>
      <c r="D88" s="28">
        <f>HYPERLINK("[N Only New retention.xlsx]'Coastal N Reductions'!C51", 4716616.51035463)</f>
        <v>4716616.5103546297</v>
      </c>
      <c r="E88" s="28">
        <f>HYPERLINK("[N Only with New retention and Differentiation.xlsx]'Coastal N Reductions'!C51", 4643323.56283912)</f>
        <v>4643323.5628391197</v>
      </c>
      <c r="F88" s="16">
        <f>D88-C88</f>
        <v>727441.04175799992</v>
      </c>
      <c r="G88" s="17">
        <f>D88/C88-1</f>
        <v>0.18235373386919718</v>
      </c>
      <c r="H88" s="16">
        <f>E88-C88</f>
        <v>654148.0942424899</v>
      </c>
      <c r="I88" s="17">
        <f>E88/C88-1</f>
        <v>0.16398077732905936</v>
      </c>
      <c r="J88" s="21">
        <f>E88-D88</f>
        <v>-73292.947515510023</v>
      </c>
      <c r="K88" s="22">
        <f>E88/D88-1</f>
        <v>-1.5539306058613422E-2</v>
      </c>
      <c r="L88" s="29">
        <f>HYPERLINK("[N Only Old retention.xlsx]'Coastal N Reductions'!D51", 107.03606770712)</f>
        <v>107.03606770712</v>
      </c>
      <c r="M88" s="29">
        <f>HYPERLINK("[N Only New retention.xlsx]'Coastal N Reductions'!D51", 107.040690341303)</f>
        <v>107.04069034130301</v>
      </c>
      <c r="N88" s="29">
        <f>HYPERLINK("[N Only with New retention and Differentiation.xlsx]'Coastal N Reductions'!D51", 107.035203326285)</f>
        <v>107.035203326285</v>
      </c>
    </row>
    <row r="89" spans="1:14" x14ac:dyDescent="0.55000000000000004">
      <c r="A89" s="30">
        <v>201</v>
      </c>
      <c r="B89" s="6" t="s">
        <v>240</v>
      </c>
      <c r="C89" s="26">
        <f>HYPERLINK("[N Only Old retention.xlsx]'Coastal N Reductions'!C52", 151657.820524385)</f>
        <v>151657.820524385</v>
      </c>
      <c r="D89" s="26">
        <f>HYPERLINK("[N Only New retention.xlsx]'Coastal N Reductions'!C52", 161665.362223814)</f>
        <v>161665.36222381401</v>
      </c>
      <c r="E89" s="26">
        <f>HYPERLINK("[N Only with New retention and Differentiation.xlsx]'Coastal N Reductions'!C52", 159137.116538213)</f>
        <v>159137.11653821301</v>
      </c>
      <c r="F89" s="16">
        <f>D89-C89</f>
        <v>10007.541699429014</v>
      </c>
      <c r="G89" s="17">
        <f>D89/C89-1</f>
        <v>6.5987640233956091E-2</v>
      </c>
      <c r="H89" s="16">
        <f>E89-C89</f>
        <v>7479.2960138280177</v>
      </c>
      <c r="I89" s="17">
        <f>E89/C89-1</f>
        <v>4.9316916120559773E-2</v>
      </c>
      <c r="J89" s="21">
        <f>E89-D89</f>
        <v>-2528.2456856009958</v>
      </c>
      <c r="K89" s="22">
        <f>E89/D89-1</f>
        <v>-1.5638759291559445E-2</v>
      </c>
      <c r="L89" s="27">
        <f>HYPERLINK("[N Only Old retention.xlsx]'Coastal N Reductions'!D52", 12.7524272066886)</f>
        <v>12.7524272066886</v>
      </c>
      <c r="M89" s="27">
        <f>HYPERLINK("[N Only New retention.xlsx]'Coastal N Reductions'!D52", 12.7264414575002)</f>
        <v>12.726441457500201</v>
      </c>
      <c r="N89" s="27">
        <f>HYPERLINK("[N Only with New retention and Differentiation.xlsx]'Coastal N Reductions'!D52", 12.7103948495876)</f>
        <v>12.710394849587599</v>
      </c>
    </row>
    <row r="90" spans="1:14" x14ac:dyDescent="0.55000000000000004">
      <c r="A90" s="31">
        <v>204</v>
      </c>
      <c r="B90" s="5" t="s">
        <v>241</v>
      </c>
      <c r="C90" s="28">
        <f>HYPERLINK("[N Only Old retention.xlsx]'Coastal N Reductions'!C53", 17431763.3760268)</f>
        <v>17431763.376026802</v>
      </c>
      <c r="D90" s="28">
        <f>HYPERLINK("[N Only New retention.xlsx]'Coastal N Reductions'!C53", 22364111.992763)</f>
        <v>22364111.992763001</v>
      </c>
      <c r="E90" s="28">
        <f>HYPERLINK("[N Only with New retention and Differentiation.xlsx]'Coastal N Reductions'!C53", 21793740.5089227)</f>
        <v>21793740.5089227</v>
      </c>
      <c r="F90" s="16">
        <f>D90-C90</f>
        <v>4932348.6167361997</v>
      </c>
      <c r="G90" s="17">
        <f>D90/C90-1</f>
        <v>0.28295178808584898</v>
      </c>
      <c r="H90" s="16">
        <f>E90-C90</f>
        <v>4361977.1328958981</v>
      </c>
      <c r="I90" s="17">
        <f>E90/C90-1</f>
        <v>0.25023154793936397</v>
      </c>
      <c r="J90" s="21">
        <f>E90-D90</f>
        <v>-570371.48384030163</v>
      </c>
      <c r="K90" s="22">
        <f>E90/D90-1</f>
        <v>-2.5503873528484933E-2</v>
      </c>
      <c r="L90" s="29">
        <f>HYPERLINK("[N Only Old retention.xlsx]'Coastal N Reductions'!D53", 488.820927028225)</f>
        <v>488.82092702822501</v>
      </c>
      <c r="M90" s="29">
        <f>HYPERLINK("[N Only New retention.xlsx]'Coastal N Reductions'!D53", 488.820915222257)</f>
        <v>488.82091522225699</v>
      </c>
      <c r="N90" s="29">
        <f>HYPERLINK("[N Only with New retention and Differentiation.xlsx]'Coastal N Reductions'!D53", 488.820820484542)</f>
        <v>488.82082048454203</v>
      </c>
    </row>
    <row r="91" spans="1:14" x14ac:dyDescent="0.55000000000000004">
      <c r="A91" s="30">
        <v>205</v>
      </c>
      <c r="B91" s="6"/>
      <c r="C91" s="18"/>
      <c r="D91" s="18"/>
      <c r="E91" s="18"/>
      <c r="F91" s="13"/>
      <c r="G91" s="18"/>
      <c r="H91" s="13"/>
      <c r="I91" s="18"/>
      <c r="J91" s="13"/>
      <c r="K91" s="18"/>
      <c r="L91" s="18"/>
      <c r="M91" s="18"/>
      <c r="N91" s="18"/>
    </row>
    <row r="92" spans="1:14" x14ac:dyDescent="0.55000000000000004">
      <c r="A92" s="31">
        <v>206</v>
      </c>
      <c r="B92" s="5" t="s">
        <v>242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x14ac:dyDescent="0.55000000000000004">
      <c r="A93" s="30">
        <v>207</v>
      </c>
      <c r="B93" s="6" t="s">
        <v>243</v>
      </c>
      <c r="C93" s="26">
        <f>HYPERLINK("[N Only Old retention.xlsx]'Coastal N Reductions'!C56", 4475782.02843066)</f>
        <v>4475782.0284306603</v>
      </c>
      <c r="D93" s="26">
        <f>HYPERLINK("[N Only New retention.xlsx]'Coastal N Reductions'!C56", 4649227.0895501)</f>
        <v>4649227.0895501003</v>
      </c>
      <c r="E93" s="26">
        <f>HYPERLINK("[N Only with New retention and Differentiation.xlsx]'Coastal N Reductions'!C56", 4649248.10954994)</f>
        <v>4649248.1095499396</v>
      </c>
      <c r="F93" s="16">
        <f>D93-C93</f>
        <v>173445.06111944001</v>
      </c>
      <c r="G93" s="17">
        <f>D93/C93-1</f>
        <v>3.8751900789113058E-2</v>
      </c>
      <c r="H93" s="16">
        <f>E93-C93</f>
        <v>173466.08111927938</v>
      </c>
      <c r="I93" s="17">
        <f>E93/C93-1</f>
        <v>3.87565971750643E-2</v>
      </c>
      <c r="J93" s="16">
        <f>E93-D93</f>
        <v>21.019999839365482</v>
      </c>
      <c r="K93" s="17">
        <f>E93/D93-1</f>
        <v>4.5211815715706649E-6</v>
      </c>
      <c r="L93" s="27">
        <f>HYPERLINK("[N Only Old retention.xlsx]'Coastal N Reductions'!D56", 124.633864505176)</f>
        <v>124.63386450517601</v>
      </c>
      <c r="M93" s="27">
        <f>HYPERLINK("[N Only New retention.xlsx]'Coastal N Reductions'!D56", 124.633820455412)</f>
        <v>124.63382045541201</v>
      </c>
      <c r="N93" s="27">
        <f>HYPERLINK("[N Only with New retention and Differentiation.xlsx]'Coastal N Reductions'!D56", 124.634366543948)</f>
        <v>124.634366543948</v>
      </c>
    </row>
    <row r="94" spans="1:14" x14ac:dyDescent="0.55000000000000004">
      <c r="A94" s="31">
        <v>208</v>
      </c>
      <c r="B94" s="5" t="s">
        <v>244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x14ac:dyDescent="0.55000000000000004">
      <c r="A95" s="30">
        <v>209</v>
      </c>
      <c r="B95" s="6" t="s">
        <v>245</v>
      </c>
      <c r="C95" s="26">
        <f>HYPERLINK("[N Only Old retention.xlsx]'Coastal N Reductions'!C58", 21604341.7899546)</f>
        <v>21604341.789954599</v>
      </c>
      <c r="D95" s="26">
        <f>HYPERLINK("[N Only New retention.xlsx]'Coastal N Reductions'!C58", 25073928.9797047)</f>
        <v>25073928.9797047</v>
      </c>
      <c r="E95" s="26">
        <f>HYPERLINK("[N Only with New retention and Differentiation.xlsx]'Coastal N Reductions'!C58", 24941421.0999412)</f>
        <v>24941421.099941202</v>
      </c>
      <c r="F95" s="16">
        <f>D95-C95</f>
        <v>3469587.1897501014</v>
      </c>
      <c r="G95" s="17">
        <f>D95/C95-1</f>
        <v>0.16059675520238992</v>
      </c>
      <c r="H95" s="16">
        <f>E95-C95</f>
        <v>3337079.3099866025</v>
      </c>
      <c r="I95" s="17">
        <f>E95/C95-1</f>
        <v>0.15446336400483385</v>
      </c>
      <c r="J95" s="21">
        <f>E95-D95</f>
        <v>-132507.8797634989</v>
      </c>
      <c r="K95" s="22">
        <f>E95/D95-1</f>
        <v>-5.2846875282590577E-3</v>
      </c>
      <c r="L95" s="27">
        <f>HYPERLINK("[N Only Old retention.xlsx]'Coastal N Reductions'!D58", 279.002515695803)</f>
        <v>279.00251569580303</v>
      </c>
      <c r="M95" s="27">
        <f>HYPERLINK("[N Only New retention.xlsx]'Coastal N Reductions'!D58", 279.0027076623)</f>
        <v>279.0027076623</v>
      </c>
      <c r="N95" s="27">
        <f>HYPERLINK("[N Only with New retention and Differentiation.xlsx]'Coastal N Reductions'!D58", 279.001655662124)</f>
        <v>279.00165566212399</v>
      </c>
    </row>
    <row r="96" spans="1:14" x14ac:dyDescent="0.55000000000000004">
      <c r="A96" s="31">
        <v>212</v>
      </c>
      <c r="B96" s="5" t="s">
        <v>246</v>
      </c>
      <c r="C96" s="28">
        <f>HYPERLINK("[N Only Old retention.xlsx]'Coastal N Reductions'!C59", 337998.196735187)</f>
        <v>337998.19673518703</v>
      </c>
      <c r="D96" s="28">
        <f>HYPERLINK("[N Only New retention.xlsx]'Coastal N Reductions'!C59", 271783.187028852)</f>
        <v>271783.187028852</v>
      </c>
      <c r="E96" s="28">
        <f>HYPERLINK("[N Only with New retention and Differentiation.xlsx]'Coastal N Reductions'!C59", 269098.373510604)</f>
        <v>269098.37351060403</v>
      </c>
      <c r="F96" s="21">
        <f>D96-C96</f>
        <v>-66215.009706335026</v>
      </c>
      <c r="G96" s="22">
        <f>D96/C96-1</f>
        <v>-0.19590344074590671</v>
      </c>
      <c r="H96" s="21">
        <f>E96-C96</f>
        <v>-68899.823224583</v>
      </c>
      <c r="I96" s="22">
        <f>E96/C96-1</f>
        <v>-0.20384671838519974</v>
      </c>
      <c r="J96" s="21">
        <f>E96-D96</f>
        <v>-2684.8135182479746</v>
      </c>
      <c r="K96" s="22">
        <f>E96/D96-1</f>
        <v>-9.8785121611034699E-3</v>
      </c>
      <c r="L96" s="29">
        <f>HYPERLINK("[N Only Old retention.xlsx]'Coastal N Reductions'!D59", 7.46581087513042)</f>
        <v>7.46581087513042</v>
      </c>
      <c r="M96" s="29">
        <f>HYPERLINK("[N Only New retention.xlsx]'Coastal N Reductions'!D59", 7.50332296284385)</f>
        <v>7.5033229628438498</v>
      </c>
      <c r="N96" s="29">
        <f>HYPERLINK("[N Only with New retention and Differentiation.xlsx]'Coastal N Reductions'!D59", 7.46565447637683)</f>
        <v>7.4656544763768302</v>
      </c>
    </row>
    <row r="97" spans="1:14" x14ac:dyDescent="0.55000000000000004">
      <c r="A97" s="30">
        <v>214</v>
      </c>
      <c r="B97" s="6" t="s">
        <v>247</v>
      </c>
      <c r="C97" s="26">
        <f>HYPERLINK("[N Only Old retention.xlsx]'Coastal N Reductions'!C60", 9511731.0902587)</f>
        <v>9511731.0902587008</v>
      </c>
      <c r="D97" s="26">
        <f>HYPERLINK("[N Only New retention.xlsx]'Coastal N Reductions'!C60", 9432318.22825438)</f>
        <v>9432318.2282543797</v>
      </c>
      <c r="E97" s="26">
        <f>HYPERLINK("[N Only with New retention and Differentiation.xlsx]'Coastal N Reductions'!C60", 9408762.5369528)</f>
        <v>9408762.5369527992</v>
      </c>
      <c r="F97" s="21">
        <f>D97-C97</f>
        <v>-79412.862004321069</v>
      </c>
      <c r="G97" s="22">
        <f>D97/C97-1</f>
        <v>-8.348938931384442E-3</v>
      </c>
      <c r="H97" s="21">
        <f>E97-C97</f>
        <v>-102968.55330590159</v>
      </c>
      <c r="I97" s="22">
        <f>E97/C97-1</f>
        <v>-1.0825427288556844E-2</v>
      </c>
      <c r="J97" s="21">
        <f>E97-D97</f>
        <v>-23555.691301580518</v>
      </c>
      <c r="K97" s="22">
        <f>E97/D97-1</f>
        <v>-2.4973384836635137E-3</v>
      </c>
      <c r="L97" s="27">
        <f>HYPERLINK("[N Only Old retention.xlsx]'Coastal N Reductions'!D60", 164.308835090837)</f>
        <v>164.30883509083699</v>
      </c>
      <c r="M97" s="27">
        <f>HYPERLINK("[N Only New retention.xlsx]'Coastal N Reductions'!D60", 164.309214152805)</f>
        <v>164.309214152805</v>
      </c>
      <c r="N97" s="27">
        <f>HYPERLINK("[N Only with New retention and Differentiation.xlsx]'Coastal N Reductions'!D60", 164.309133696068)</f>
        <v>164.30913369606799</v>
      </c>
    </row>
    <row r="98" spans="1:14" x14ac:dyDescent="0.55000000000000004">
      <c r="A98" s="31">
        <v>216</v>
      </c>
      <c r="B98" s="5" t="s">
        <v>248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x14ac:dyDescent="0.55000000000000004">
      <c r="A99" s="30">
        <v>217</v>
      </c>
      <c r="B99" s="6" t="s">
        <v>249</v>
      </c>
      <c r="C99" s="26">
        <f>HYPERLINK("[N Only Old retention.xlsx]'Coastal N Reductions'!C62", 5429965.43307448)</f>
        <v>5429965.4330744799</v>
      </c>
      <c r="D99" s="26">
        <f>HYPERLINK("[N Only New retention.xlsx]'Coastal N Reductions'!C62", 6279729.08113911)</f>
        <v>6279729.08113911</v>
      </c>
      <c r="E99" s="26">
        <f>HYPERLINK("[N Only with New retention and Differentiation.xlsx]'Coastal N Reductions'!C62", 6286805.65107229)</f>
        <v>6286805.6510722898</v>
      </c>
      <c r="F99" s="16">
        <f>D99-C99</f>
        <v>849763.64806463011</v>
      </c>
      <c r="G99" s="17">
        <f>D99/C99-1</f>
        <v>0.15649522239840286</v>
      </c>
      <c r="H99" s="16">
        <f>E99-C99</f>
        <v>856840.21799780987</v>
      </c>
      <c r="I99" s="17">
        <f>E99/C99-1</f>
        <v>0.15779846640987949</v>
      </c>
      <c r="J99" s="16">
        <f>E99-D99</f>
        <v>7076.5699331797659</v>
      </c>
      <c r="K99" s="17">
        <f>E99/D99-1</f>
        <v>1.1268909600627985E-3</v>
      </c>
      <c r="L99" s="27">
        <f>HYPERLINK("[N Only Old retention.xlsx]'Coastal N Reductions'!D62", 97.4194808613344)</f>
        <v>97.419480861334407</v>
      </c>
      <c r="M99" s="27">
        <f>HYPERLINK("[N Only New retention.xlsx]'Coastal N Reductions'!D62", 97.4194986965633)</f>
        <v>97.419498696563295</v>
      </c>
      <c r="N99" s="27">
        <f>HYPERLINK("[N Only with New retention and Differentiation.xlsx]'Coastal N Reductions'!D62", 97.4197976465126)</f>
        <v>97.419797646512606</v>
      </c>
    </row>
    <row r="100" spans="1:14" x14ac:dyDescent="0.55000000000000004">
      <c r="A100" s="31">
        <v>219</v>
      </c>
      <c r="B100" s="5" t="s">
        <v>250</v>
      </c>
      <c r="C100" s="28">
        <f>HYPERLINK("[N Only Old retention.xlsx]'Coastal N Reductions'!C63", 1153461.96482116)</f>
        <v>1153461.9648211601</v>
      </c>
      <c r="D100" s="28">
        <f>HYPERLINK("[N Only New retention.xlsx]'Coastal N Reductions'!C63", 1218385.13249191)</f>
        <v>1218385.1324919099</v>
      </c>
      <c r="E100" s="28">
        <f>HYPERLINK("[N Only with New retention and Differentiation.xlsx]'Coastal N Reductions'!C63", 1205706.22928507)</f>
        <v>1205706.22928507</v>
      </c>
      <c r="F100" s="16">
        <f>D100-C100</f>
        <v>64923.167670749826</v>
      </c>
      <c r="G100" s="17">
        <f>D100/C100-1</f>
        <v>5.6285486345287516E-2</v>
      </c>
      <c r="H100" s="16">
        <f>E100-C100</f>
        <v>52244.264463909902</v>
      </c>
      <c r="I100" s="17">
        <f>E100/C100-1</f>
        <v>4.529344361347043E-2</v>
      </c>
      <c r="J100" s="21">
        <f>E100-D100</f>
        <v>-12678.903206839925</v>
      </c>
      <c r="K100" s="22">
        <f>E100/D100-1</f>
        <v>-1.0406318058813091E-2</v>
      </c>
      <c r="L100" s="29">
        <f>HYPERLINK("[N Only Old retention.xlsx]'Coastal N Reductions'!D63", 55.0227706331162)</f>
        <v>55.022770633116203</v>
      </c>
      <c r="M100" s="29">
        <f>HYPERLINK("[N Only New retention.xlsx]'Coastal N Reductions'!D63", 54.9918700302205)</f>
        <v>54.991870030220497</v>
      </c>
      <c r="N100" s="29">
        <f>HYPERLINK("[N Only with New retention and Differentiation.xlsx]'Coastal N Reductions'!D63", 54.9925812705011)</f>
        <v>54.992581270501098</v>
      </c>
    </row>
    <row r="101" spans="1:14" x14ac:dyDescent="0.55000000000000004">
      <c r="A101" s="30">
        <v>221</v>
      </c>
      <c r="B101" s="6" t="s">
        <v>251</v>
      </c>
      <c r="C101" s="18"/>
      <c r="D101" s="18"/>
      <c r="E101" s="18"/>
      <c r="F101" s="13"/>
      <c r="G101" s="18"/>
      <c r="H101" s="13"/>
      <c r="I101" s="18"/>
      <c r="J101" s="13"/>
      <c r="K101" s="18"/>
      <c r="L101" s="18"/>
      <c r="M101" s="18"/>
      <c r="N101" s="18"/>
    </row>
    <row r="102" spans="1:14" x14ac:dyDescent="0.55000000000000004">
      <c r="A102" s="31">
        <v>222</v>
      </c>
      <c r="B102" s="5" t="s">
        <v>252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x14ac:dyDescent="0.55000000000000004">
      <c r="A103" s="30">
        <v>224</v>
      </c>
      <c r="B103" s="6" t="s">
        <v>253</v>
      </c>
      <c r="C103" s="26">
        <f>HYPERLINK("[N Only Old retention.xlsx]'Coastal N Reductions'!C66", 1682805.8760899)</f>
        <v>1682805.8760899</v>
      </c>
      <c r="D103" s="26">
        <f>HYPERLINK("[N Only New retention.xlsx]'Coastal N Reductions'!C66", 1819247.76123112)</f>
        <v>1819247.76123112</v>
      </c>
      <c r="E103" s="26">
        <f>HYPERLINK("[N Only with New retention and Differentiation.xlsx]'Coastal N Reductions'!C66", 1819029.47397472)</f>
        <v>1819029.4739747201</v>
      </c>
      <c r="F103" s="16">
        <f>D103-C103</f>
        <v>136441.88514121994</v>
      </c>
      <c r="G103" s="17">
        <f>D103/C103-1</f>
        <v>8.1079990912707567E-2</v>
      </c>
      <c r="H103" s="16">
        <f>E103-C103</f>
        <v>136223.59788482008</v>
      </c>
      <c r="I103" s="17">
        <f>E103/C103-1</f>
        <v>8.095027466943705E-2</v>
      </c>
      <c r="J103" s="21">
        <f>E103-D103</f>
        <v>-218.28725639986806</v>
      </c>
      <c r="K103" s="22">
        <f>E103/D103-1</f>
        <v>-1.1998764602139111E-4</v>
      </c>
      <c r="L103" s="27">
        <f>HYPERLINK("[N Only Old retention.xlsx]'Coastal N Reductions'!D66", 116.482005639138)</f>
        <v>116.48200563913799</v>
      </c>
      <c r="M103" s="27">
        <f>HYPERLINK("[N Only New retention.xlsx]'Coastal N Reductions'!D66", 116.485197443228)</f>
        <v>116.485197443228</v>
      </c>
      <c r="N103" s="27">
        <f>HYPERLINK("[N Only with New retention and Differentiation.xlsx]'Coastal N Reductions'!D66", 116.463080087097)</f>
        <v>116.463080087097</v>
      </c>
    </row>
    <row r="104" spans="1:14" x14ac:dyDescent="0.55000000000000004">
      <c r="A104" s="31">
        <v>225</v>
      </c>
      <c r="B104" s="5" t="s">
        <v>254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x14ac:dyDescent="0.55000000000000004">
      <c r="A105" s="30">
        <v>231</v>
      </c>
      <c r="B105" s="6" t="s">
        <v>255</v>
      </c>
      <c r="C105" s="26">
        <f>HYPERLINK("[N Only Old retention.xlsx]'Coastal N Reductions'!C68", 3060664.95830041)</f>
        <v>3060664.9583004098</v>
      </c>
      <c r="D105" s="26">
        <f>HYPERLINK("[N Only New retention.xlsx]'Coastal N Reductions'!C68", 4004259.61821343)</f>
        <v>4004259.61821343</v>
      </c>
      <c r="E105" s="26">
        <f>HYPERLINK("[N Only with New retention and Differentiation.xlsx]'Coastal N Reductions'!C68", 4004175.63825343)</f>
        <v>4004175.6382534299</v>
      </c>
      <c r="F105" s="16">
        <f>D105-C105</f>
        <v>943594.65991302021</v>
      </c>
      <c r="G105" s="17">
        <f>D105/C105-1</f>
        <v>0.30829727290274822</v>
      </c>
      <c r="H105" s="16">
        <f>E105-C105</f>
        <v>943510.67995302007</v>
      </c>
      <c r="I105" s="17">
        <f>E105/C105-1</f>
        <v>0.30826983443393696</v>
      </c>
      <c r="J105" s="21">
        <f>E105-D105</f>
        <v>-83.979960000142455</v>
      </c>
      <c r="K105" s="22">
        <f>E105/D105-1</f>
        <v>-2.0972656122997257E-5</v>
      </c>
      <c r="L105" s="27">
        <f>HYPERLINK("[N Only Old retention.xlsx]'Coastal N Reductions'!D68", 29.7700118481666)</f>
        <v>29.7700118481666</v>
      </c>
      <c r="M105" s="27">
        <f>HYPERLINK("[N Only New retention.xlsx]'Coastal N Reductions'!D68", 29.7685582411983)</f>
        <v>29.768558241198299</v>
      </c>
      <c r="N105" s="27">
        <f>HYPERLINK("[N Only with New retention and Differentiation.xlsx]'Coastal N Reductions'!D68", 29.770076734295)</f>
        <v>29.770076734294999</v>
      </c>
    </row>
    <row r="106" spans="1:14" x14ac:dyDescent="0.55000000000000004">
      <c r="A106" s="31">
        <v>232</v>
      </c>
      <c r="B106" s="5" t="s">
        <v>256</v>
      </c>
      <c r="C106" s="28">
        <f>HYPERLINK("[N Only Old retention.xlsx]'Coastal N Reductions'!C69", 3354459.85840503)</f>
        <v>3354459.8584050299</v>
      </c>
      <c r="D106" s="28">
        <f>HYPERLINK("[N Only New retention.xlsx]'Coastal N Reductions'!C69", 3444521.75806621)</f>
        <v>3444521.75806621</v>
      </c>
      <c r="E106" s="28">
        <f>HYPERLINK("[N Only with New retention and Differentiation.xlsx]'Coastal N Reductions'!C69", 3458506.32331628)</f>
        <v>3458506.3233162798</v>
      </c>
      <c r="F106" s="16">
        <f>D106-C106</f>
        <v>90061.899661180098</v>
      </c>
      <c r="G106" s="17">
        <f>D106/C106-1</f>
        <v>2.6848405842603285E-2</v>
      </c>
      <c r="H106" s="16">
        <f>E106-C106</f>
        <v>104046.46491124993</v>
      </c>
      <c r="I106" s="17">
        <f>E106/C106-1</f>
        <v>3.101735280884288E-2</v>
      </c>
      <c r="J106" s="16">
        <f>E106-D106</f>
        <v>13984.565250069834</v>
      </c>
      <c r="K106" s="17">
        <f>E106/D106-1</f>
        <v>4.0599439435449192E-3</v>
      </c>
      <c r="L106" s="29">
        <f>HYPERLINK("[N Only Old retention.xlsx]'Coastal N Reductions'!D69", 217.633495982035)</f>
        <v>217.63349598203499</v>
      </c>
      <c r="M106" s="29">
        <f>HYPERLINK("[N Only New retention.xlsx]'Coastal N Reductions'!D69", 217.63146796795)</f>
        <v>217.63146796794999</v>
      </c>
      <c r="N106" s="29">
        <f>HYPERLINK("[N Only with New retention and Differentiation.xlsx]'Coastal N Reductions'!D69", 217.638001578663)</f>
        <v>217.63800157866299</v>
      </c>
    </row>
    <row r="107" spans="1:14" x14ac:dyDescent="0.55000000000000004">
      <c r="A107" s="30">
        <v>233</v>
      </c>
      <c r="B107" s="6" t="s">
        <v>257</v>
      </c>
      <c r="C107" s="26">
        <f>HYPERLINK("[N Only Old retention.xlsx]'Coastal N Reductions'!C70", 6100537.25083358)</f>
        <v>6100537.2508335803</v>
      </c>
      <c r="D107" s="26">
        <f>HYPERLINK("[N Only New retention.xlsx]'Coastal N Reductions'!C70", 7233021.90170403)</f>
        <v>7233021.9017040301</v>
      </c>
      <c r="E107" s="26">
        <f>HYPERLINK("[N Only with New retention and Differentiation.xlsx]'Coastal N Reductions'!C70", 7304394.94625692)</f>
        <v>7304394.9462569198</v>
      </c>
      <c r="F107" s="16">
        <f>D107-C107</f>
        <v>1132484.6508704498</v>
      </c>
      <c r="G107" s="17">
        <f>D107/C107-1</f>
        <v>0.18563687168957244</v>
      </c>
      <c r="H107" s="16">
        <f>E107-C107</f>
        <v>1203857.6954233395</v>
      </c>
      <c r="I107" s="17">
        <f>E107/C107-1</f>
        <v>0.19733634037868453</v>
      </c>
      <c r="J107" s="16">
        <f>E107-D107</f>
        <v>71373.044552889653</v>
      </c>
      <c r="K107" s="17">
        <f>E107/D107-1</f>
        <v>9.8676660354193313E-3</v>
      </c>
      <c r="L107" s="27">
        <f>HYPERLINK("[N Only Old retention.xlsx]'Coastal N Reductions'!D70", 311.615822530298)</f>
        <v>311.61582253029798</v>
      </c>
      <c r="M107" s="27">
        <f>HYPERLINK("[N Only New retention.xlsx]'Coastal N Reductions'!D70", 311.616004617319)</f>
        <v>311.61600461731899</v>
      </c>
      <c r="N107" s="27">
        <f>HYPERLINK("[N Only with New retention and Differentiation.xlsx]'Coastal N Reductions'!D70", 311.615934887117)</f>
        <v>311.61593488711702</v>
      </c>
    </row>
    <row r="108" spans="1:14" x14ac:dyDescent="0.55000000000000004">
      <c r="A108" s="31">
        <v>234</v>
      </c>
      <c r="B108" s="5" t="s">
        <v>258</v>
      </c>
      <c r="C108" s="28">
        <f>HYPERLINK("[N Only Old retention.xlsx]'Coastal N Reductions'!C71", 3898877.32146342)</f>
        <v>3898877.3214634201</v>
      </c>
      <c r="D108" s="28">
        <f>HYPERLINK("[N Only New retention.xlsx]'Coastal N Reductions'!C71", 2087186.36557083)</f>
        <v>2087186.3655708299</v>
      </c>
      <c r="E108" s="28">
        <f>HYPERLINK("[N Only with New retention and Differentiation.xlsx]'Coastal N Reductions'!C71", 2086844.52846988)</f>
        <v>2086844.5284698801</v>
      </c>
      <c r="F108" s="21">
        <f>D108-C108</f>
        <v>-1811690.9558925901</v>
      </c>
      <c r="G108" s="22">
        <f>D108/C108-1</f>
        <v>-0.46466990533895092</v>
      </c>
      <c r="H108" s="21">
        <f>E108-C108</f>
        <v>-1812032.7929935399</v>
      </c>
      <c r="I108" s="22">
        <f>E108/C108-1</f>
        <v>-0.46475758111655696</v>
      </c>
      <c r="J108" s="21">
        <f>E108-D108</f>
        <v>-341.83710094983689</v>
      </c>
      <c r="K108" s="22">
        <f>E108/D108-1</f>
        <v>-1.6377890666052775E-4</v>
      </c>
      <c r="L108" s="29">
        <f>HYPERLINK("[N Only Old retention.xlsx]'Coastal N Reductions'!D71", 212.141776060791)</f>
        <v>212.14177606079099</v>
      </c>
      <c r="M108" s="29">
        <f>HYPERLINK("[N Only New retention.xlsx]'Coastal N Reductions'!D71", 212.141637982712)</f>
        <v>212.14163798271201</v>
      </c>
      <c r="N108" s="29">
        <f>HYPERLINK("[N Only with New retention and Differentiation.xlsx]'Coastal N Reductions'!D71", 212.141804805178)</f>
        <v>212.141804805178</v>
      </c>
    </row>
    <row r="109" spans="1:14" x14ac:dyDescent="0.55000000000000004">
      <c r="A109" s="30">
        <v>235</v>
      </c>
      <c r="B109" s="6" t="s">
        <v>259</v>
      </c>
      <c r="C109" s="18"/>
      <c r="D109" s="18"/>
      <c r="E109" s="18"/>
      <c r="F109" s="13"/>
      <c r="G109" s="18"/>
      <c r="H109" s="13"/>
      <c r="I109" s="18"/>
      <c r="J109" s="13"/>
      <c r="K109" s="18"/>
      <c r="L109" s="18"/>
      <c r="M109" s="18"/>
      <c r="N109" s="18"/>
    </row>
    <row r="110" spans="1:14" x14ac:dyDescent="0.55000000000000004">
      <c r="A110" s="31">
        <v>236</v>
      </c>
      <c r="B110" s="5" t="s">
        <v>260</v>
      </c>
      <c r="C110" s="28">
        <f>HYPERLINK("[N Only Old retention.xlsx]'Coastal N Reductions'!C73", 13284309.7461195)</f>
        <v>13284309.746119499</v>
      </c>
      <c r="D110" s="28">
        <f>HYPERLINK("[N Only New retention.xlsx]'Coastal N Reductions'!C73", 10523316.497358)</f>
        <v>10523316.497358</v>
      </c>
      <c r="E110" s="28">
        <f>HYPERLINK("[N Only with New retention and Differentiation.xlsx]'Coastal N Reductions'!C73", 10529581.1421039)</f>
        <v>10529581.142103899</v>
      </c>
      <c r="F110" s="21">
        <f>D110-C110</f>
        <v>-2760993.2487614993</v>
      </c>
      <c r="G110" s="22">
        <f>D110/C110-1</f>
        <v>-0.20783866843875853</v>
      </c>
      <c r="H110" s="21">
        <f>E110-C110</f>
        <v>-2754728.6040155999</v>
      </c>
      <c r="I110" s="22">
        <f>E110/C110-1</f>
        <v>-0.20736708618378064</v>
      </c>
      <c r="J110" s="16">
        <f>E110-D110</f>
        <v>6264.6447458993644</v>
      </c>
      <c r="K110" s="17">
        <f>E110/D110-1</f>
        <v>5.9531087442565855E-4</v>
      </c>
      <c r="L110" s="29">
        <f>HYPERLINK("[N Only Old retention.xlsx]'Coastal N Reductions'!D73", 522.825530124433)</f>
        <v>522.82553012443304</v>
      </c>
      <c r="M110" s="29">
        <f>HYPERLINK("[N Only New retention.xlsx]'Coastal N Reductions'!D73", 522.825564228133)</f>
        <v>522.82556422813298</v>
      </c>
      <c r="N110" s="29">
        <f>HYPERLINK("[N Only with New retention and Differentiation.xlsx]'Coastal N Reductions'!D73", 522.82547520996)</f>
        <v>522.82547520996002</v>
      </c>
    </row>
    <row r="111" spans="1:14" x14ac:dyDescent="0.55000000000000004">
      <c r="A111" s="30">
        <v>238</v>
      </c>
      <c r="B111" s="6" t="s">
        <v>261</v>
      </c>
      <c r="C111" s="26">
        <f>HYPERLINK("[N Only Old retention.xlsx]'Coastal N Reductions'!C74", 6821756.68169321)</f>
        <v>6821756.6816932103</v>
      </c>
      <c r="D111" s="26">
        <f>HYPERLINK("[N Only New retention.xlsx]'Coastal N Reductions'!C74", 5808816.44089881)</f>
        <v>5808816.4408988096</v>
      </c>
      <c r="E111" s="26">
        <f>HYPERLINK("[N Only with New retention and Differentiation.xlsx]'Coastal N Reductions'!C74", 5808282.53840246)</f>
        <v>5808282.5384024596</v>
      </c>
      <c r="F111" s="21">
        <f>D111-C111</f>
        <v>-1012940.2407944007</v>
      </c>
      <c r="G111" s="22">
        <f>D111/C111-1</f>
        <v>-0.14848671508802358</v>
      </c>
      <c r="H111" s="21">
        <f>E111-C111</f>
        <v>-1013474.1432907507</v>
      </c>
      <c r="I111" s="22">
        <f>E111/C111-1</f>
        <v>-0.14856497975228267</v>
      </c>
      <c r="J111" s="21">
        <f>E111-D111</f>
        <v>-533.90249634999782</v>
      </c>
      <c r="K111" s="22">
        <f>E111/D111-1</f>
        <v>-9.1912440646435556E-5</v>
      </c>
      <c r="L111" s="27">
        <f>HYPERLINK("[N Only Old retention.xlsx]'Coastal N Reductions'!D74", 237.283890174883)</f>
        <v>237.283890174883</v>
      </c>
      <c r="M111" s="27">
        <f>HYPERLINK("[N Only New retention.xlsx]'Coastal N Reductions'!D74", 237.28227498057)</f>
        <v>237.28227498057001</v>
      </c>
      <c r="N111" s="27">
        <f>HYPERLINK("[N Only with New retention and Differentiation.xlsx]'Coastal N Reductions'!D74", 237.282610676738)</f>
        <v>237.28261067673799</v>
      </c>
    </row>
    <row r="112" spans="1:14" x14ac:dyDescent="0.55000000000000004">
      <c r="A112" s="23"/>
      <c r="B112" s="24" t="s">
        <v>262</v>
      </c>
      <c r="C112" s="25">
        <v>480237963.65324301</v>
      </c>
      <c r="D112" s="25">
        <v>480848904.69812101</v>
      </c>
      <c r="E112" s="25">
        <v>481222527.31869203</v>
      </c>
      <c r="F112" s="32">
        <f>D112-C112</f>
        <v>610941.04487800598</v>
      </c>
      <c r="G112" s="33">
        <f>D112/C112-1</f>
        <v>1.2721631589274196E-3</v>
      </c>
      <c r="H112" s="32">
        <f>E112-C112</f>
        <v>984563.66544902325</v>
      </c>
      <c r="I112" s="33">
        <f>E112/C112-1</f>
        <v>2.0501579216256616E-3</v>
      </c>
      <c r="J112" s="32">
        <f>E112-D112</f>
        <v>373622.62057101727</v>
      </c>
      <c r="K112" s="33">
        <f>E112/D112-1</f>
        <v>7.7700628392940452E-4</v>
      </c>
      <c r="L112" s="34">
        <v>13794.646258884701</v>
      </c>
      <c r="M112" s="34">
        <v>13789.287725333599</v>
      </c>
      <c r="N112" s="34">
        <v>13789.2852373568</v>
      </c>
    </row>
    <row r="115" spans="1:14" ht="18" customHeight="1" x14ac:dyDescent="0.55000000000000004">
      <c r="A115" s="62" t="s">
        <v>263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ht="31.5" customHeight="1" x14ac:dyDescent="0.55000000000000004">
      <c r="A116" s="1" t="s">
        <v>140</v>
      </c>
      <c r="B116" s="1" t="s">
        <v>141</v>
      </c>
      <c r="C116" s="1" t="s">
        <v>142</v>
      </c>
      <c r="D116" s="1" t="s">
        <v>143</v>
      </c>
      <c r="E116" s="1" t="s">
        <v>144</v>
      </c>
      <c r="F116" s="1" t="s">
        <v>145</v>
      </c>
      <c r="G116" s="1" t="s">
        <v>146</v>
      </c>
      <c r="H116" s="1" t="s">
        <v>147</v>
      </c>
      <c r="I116" s="1" t="s">
        <v>148</v>
      </c>
      <c r="J116" s="1" t="s">
        <v>149</v>
      </c>
      <c r="K116" s="1" t="s">
        <v>150</v>
      </c>
      <c r="L116" s="1" t="s">
        <v>151</v>
      </c>
      <c r="M116" s="1" t="s">
        <v>152</v>
      </c>
      <c r="N116" s="1" t="s">
        <v>153</v>
      </c>
    </row>
    <row r="117" spans="1:14" x14ac:dyDescent="0.55000000000000004">
      <c r="A117" s="30">
        <v>1</v>
      </c>
      <c r="B117" s="6" t="s">
        <v>154</v>
      </c>
      <c r="C117" s="26">
        <f>HYPERLINK("[N&amp;P Old retention.xlsx]'Coastal N Reductions'!C2", 16274010.1794556)</f>
        <v>16274010.179455601</v>
      </c>
      <c r="D117" s="26">
        <f>HYPERLINK("[N&amp;P New retention.xlsx]'Coastal N Reductions'!C2", 17042965.6057599)</f>
        <v>17042965.6057599</v>
      </c>
      <c r="E117" s="26">
        <f>HYPERLINK("[N&amp;P with New retention and Differentiation.xlsx]'Coastal N Reductions'!C2", 16786174.6777605)</f>
        <v>16786174.6777605</v>
      </c>
      <c r="F117" s="16">
        <f>D117-C117</f>
        <v>768955.42630429938</v>
      </c>
      <c r="G117" s="17">
        <f>D117/C117-1</f>
        <v>4.7250518945541442E-2</v>
      </c>
      <c r="H117" s="16">
        <f>E117-C117</f>
        <v>512164.49830489978</v>
      </c>
      <c r="I117" s="17">
        <f>E117/C117-1</f>
        <v>3.1471314854617738E-2</v>
      </c>
      <c r="J117" s="21">
        <f>E117-D117</f>
        <v>-256790.9279993996</v>
      </c>
      <c r="K117" s="22">
        <f>E117/D117-1</f>
        <v>-1.5067267865201406E-2</v>
      </c>
      <c r="L117" s="27">
        <f>HYPERLINK("[N&amp;P Old retention.xlsx]'Coastal N Reductions'!D2", 181.507637775907)</f>
        <v>181.507637775907</v>
      </c>
      <c r="M117" s="27">
        <f>HYPERLINK("[N&amp;P New retention.xlsx]'Coastal N Reductions'!D2", 181.50522929662)</f>
        <v>181.50522929662</v>
      </c>
      <c r="N117" s="27">
        <f>HYPERLINK("[N&amp;P with New retention and Differentiation.xlsx]'Coastal N Reductions'!D2", 181.511237730745)</f>
        <v>181.51123773074499</v>
      </c>
    </row>
    <row r="118" spans="1:14" x14ac:dyDescent="0.55000000000000004">
      <c r="A118" s="31">
        <v>2</v>
      </c>
      <c r="B118" s="5" t="s">
        <v>155</v>
      </c>
      <c r="C118" s="28">
        <f>HYPERLINK("[N&amp;P Old retention.xlsx]'Coastal N Reductions'!C50", 29221980.8091331)</f>
        <v>29221980.809133101</v>
      </c>
      <c r="D118" s="28">
        <f>HYPERLINK("[N&amp;P New retention.xlsx]'Coastal N Reductions'!C50", 28842972.8055605)</f>
        <v>28842972.805560499</v>
      </c>
      <c r="E118" s="28">
        <f>HYPERLINK("[N&amp;P with New retention and Differentiation.xlsx]'Coastal N Reductions'!C50", 28602066.3302803)</f>
        <v>28602066.3302803</v>
      </c>
      <c r="F118" s="21">
        <f>D118-C118</f>
        <v>-379008.00357260182</v>
      </c>
      <c r="G118" s="22">
        <f>D118/C118-1</f>
        <v>-1.2969962784115774E-2</v>
      </c>
      <c r="H118" s="21">
        <f>E118-C118</f>
        <v>-619914.47885280102</v>
      </c>
      <c r="I118" s="22">
        <f>E118/C118-1</f>
        <v>-2.1213978713552906E-2</v>
      </c>
      <c r="J118" s="21">
        <f>E118-D118</f>
        <v>-240906.4752801992</v>
      </c>
      <c r="K118" s="22">
        <f>E118/D118-1</f>
        <v>-8.3523455402543245E-3</v>
      </c>
      <c r="L118" s="29">
        <f>HYPERLINK("[N&amp;P Old retention.xlsx]'Coastal N Reductions'!D50", 135.635282537123)</f>
        <v>135.635282537123</v>
      </c>
      <c r="M118" s="29">
        <f>HYPERLINK("[N&amp;P New retention.xlsx]'Coastal N Reductions'!D50", 135.514927078372)</f>
        <v>135.51492707837201</v>
      </c>
      <c r="N118" s="29">
        <f>HYPERLINK("[N&amp;P with New retention and Differentiation.xlsx]'Coastal N Reductions'!D50", 135.627780976698)</f>
        <v>135.62778097669801</v>
      </c>
    </row>
    <row r="119" spans="1:14" x14ac:dyDescent="0.55000000000000004">
      <c r="A119" s="30">
        <v>6</v>
      </c>
      <c r="B119" s="6" t="s">
        <v>156</v>
      </c>
      <c r="C119" s="26">
        <f>HYPERLINK("[N&amp;P Old retention.xlsx]'Coastal N Reductions'!C93", 3924488.83802172)</f>
        <v>3924488.8380217198</v>
      </c>
      <c r="D119" s="26">
        <f>HYPERLINK("[N&amp;P New retention.xlsx]'Coastal N Reductions'!C93", 3924488.83802172)</f>
        <v>3924488.8380217198</v>
      </c>
      <c r="E119" s="26">
        <f>HYPERLINK("[N&amp;P with New retention and Differentiation.xlsx]'Coastal N Reductions'!C93", 3924488.83802172)</f>
        <v>3924488.8380217198</v>
      </c>
      <c r="F119" s="13"/>
      <c r="G119" s="18"/>
      <c r="H119" s="13"/>
      <c r="I119" s="18"/>
      <c r="J119" s="13"/>
      <c r="K119" s="18"/>
      <c r="L119" s="27">
        <f>HYPERLINK("[N&amp;P Old retention.xlsx]'Coastal N Reductions'!D93", 1.04717060694558)</f>
        <v>1.04717060694558</v>
      </c>
      <c r="M119" s="27">
        <f>HYPERLINK("[N&amp;P New retention.xlsx]'Coastal N Reductions'!D93", 0.975226488203389)</f>
        <v>0.97522648820338897</v>
      </c>
      <c r="N119" s="27">
        <f>HYPERLINK("[N&amp;P with New retention and Differentiation.xlsx]'Coastal N Reductions'!D93", 0.995341900680016)</f>
        <v>0.99534190068001605</v>
      </c>
    </row>
    <row r="120" spans="1:14" x14ac:dyDescent="0.55000000000000004">
      <c r="A120" s="31">
        <v>16</v>
      </c>
      <c r="B120" s="5" t="s">
        <v>157</v>
      </c>
      <c r="C120" s="28">
        <f>HYPERLINK("[N&amp;P Old retention.xlsx]'Coastal N Reductions'!C45", 40040.1718151549)</f>
        <v>40040.171815154899</v>
      </c>
      <c r="D120" s="28">
        <f>HYPERLINK("[N&amp;P New retention.xlsx]'Coastal N Reductions'!C45", 40232.8772266707)</f>
        <v>40232.877226670702</v>
      </c>
      <c r="E120" s="28">
        <f>HYPERLINK("[N&amp;P with New retention and Differentiation.xlsx]'Coastal N Reductions'!C45", 39924.5655784367)</f>
        <v>39924.565578436697</v>
      </c>
      <c r="F120" s="16">
        <f>D120-C120</f>
        <v>192.70541151580255</v>
      </c>
      <c r="G120" s="17">
        <f>D120/C120-1</f>
        <v>4.812801813274481E-3</v>
      </c>
      <c r="H120" s="21">
        <f>E120-C120</f>
        <v>-115.60623671820213</v>
      </c>
      <c r="I120" s="22">
        <f>E120/C120-1</f>
        <v>-2.8872562598356577E-3</v>
      </c>
      <c r="J120" s="21">
        <f>E120-D120</f>
        <v>-308.31164823400468</v>
      </c>
      <c r="K120" s="22">
        <f>E120/D120-1</f>
        <v>-7.6631767222857805E-3</v>
      </c>
      <c r="L120" s="29">
        <f>HYPERLINK("[N&amp;P Old retention.xlsx]'Coastal N Reductions'!D45", 0.0475914519423823)</f>
        <v>4.7591451942382297E-2</v>
      </c>
      <c r="M120" s="29">
        <f>HYPERLINK("[N&amp;P New retention.xlsx]'Coastal N Reductions'!D45", 0.0491976800134351)</f>
        <v>4.9197680013435101E-2</v>
      </c>
      <c r="N120" s="29">
        <f>HYPERLINK("[N&amp;P with New retention and Differentiation.xlsx]'Coastal N Reductions'!D45", 0.0467775675044389)</f>
        <v>4.6777567504438899E-2</v>
      </c>
    </row>
    <row r="121" spans="1:14" x14ac:dyDescent="0.55000000000000004">
      <c r="A121" s="30">
        <v>17</v>
      </c>
      <c r="B121" s="6" t="s">
        <v>158</v>
      </c>
      <c r="C121" s="26">
        <f>HYPERLINK("[N&amp;P Old retention.xlsx]'Coastal N Reductions'!C48", 1041107.39234668)</f>
        <v>1041107.39234668</v>
      </c>
      <c r="D121" s="26">
        <f>HYPERLINK("[N&amp;P New retention.xlsx]'Coastal N Reductions'!C48", 1133111.17599892)</f>
        <v>1133111.1759989201</v>
      </c>
      <c r="E121" s="26">
        <f>HYPERLINK("[N&amp;P with New retention and Differentiation.xlsx]'Coastal N Reductions'!C48", 1133848.71542057)</f>
        <v>1133848.71542057</v>
      </c>
      <c r="F121" s="16">
        <f>D121-C121</f>
        <v>92003.783652240061</v>
      </c>
      <c r="G121" s="17">
        <f>D121/C121-1</f>
        <v>8.8371079034278432E-2</v>
      </c>
      <c r="H121" s="16">
        <f>E121-C121</f>
        <v>92741.323073889944</v>
      </c>
      <c r="I121" s="17">
        <f>E121/C121-1</f>
        <v>8.9079497231163485E-2</v>
      </c>
      <c r="J121" s="16">
        <f>E121-D121</f>
        <v>737.53942164988257</v>
      </c>
      <c r="K121" s="17">
        <f>E121/D121-1</f>
        <v>6.508976676535827E-4</v>
      </c>
      <c r="L121" s="27">
        <f>HYPERLINK("[N&amp;P Old retention.xlsx]'Coastal N Reductions'!D48", 31.7874586522525)</f>
        <v>31.7874586522525</v>
      </c>
      <c r="M121" s="27">
        <f>HYPERLINK("[N&amp;P New retention.xlsx]'Coastal N Reductions'!D48", 31.8190973383547)</f>
        <v>31.819097338354702</v>
      </c>
      <c r="N121" s="27">
        <f>HYPERLINK("[N&amp;P with New retention and Differentiation.xlsx]'Coastal N Reductions'!D48", 31.7915658362192)</f>
        <v>31.791565836219199</v>
      </c>
    </row>
    <row r="122" spans="1:14" x14ac:dyDescent="0.55000000000000004">
      <c r="A122" s="31">
        <v>18</v>
      </c>
      <c r="B122" s="5" t="s">
        <v>159</v>
      </c>
      <c r="C122" s="28">
        <f>HYPERLINK("[N&amp;P Old retention.xlsx]'Coastal N Reductions'!C49", 27842.8360637872)</f>
        <v>27842.836063787199</v>
      </c>
      <c r="D122" s="28">
        <f>HYPERLINK("[N&amp;P New retention.xlsx]'Coastal N Reductions'!C49", 30763.3150007939)</f>
        <v>30763.3150007939</v>
      </c>
      <c r="E122" s="28">
        <f>HYPERLINK("[N&amp;P with New retention and Differentiation.xlsx]'Coastal N Reductions'!C49", 30804.8465575715)</f>
        <v>30804.846557571502</v>
      </c>
      <c r="F122" s="16">
        <f>D122-C122</f>
        <v>2920.478937006701</v>
      </c>
      <c r="G122" s="17">
        <f>D122/C122-1</f>
        <v>0.10489157535230831</v>
      </c>
      <c r="H122" s="16">
        <f>E122-C122</f>
        <v>2962.0104937843025</v>
      </c>
      <c r="I122" s="17">
        <f>E122/C122-1</f>
        <v>0.10638321782301263</v>
      </c>
      <c r="J122" s="16">
        <f>E122-D122</f>
        <v>41.531556777601509</v>
      </c>
      <c r="K122" s="17">
        <f>E122/D122-1</f>
        <v>1.350035156371554E-3</v>
      </c>
      <c r="L122" s="29">
        <f>HYPERLINK("[N&amp;P Old retention.xlsx]'Coastal N Reductions'!D49", 1.6879482096)</f>
        <v>1.6879482096</v>
      </c>
      <c r="M122" s="29">
        <f>HYPERLINK("[N&amp;P New retention.xlsx]'Coastal N Reductions'!D49", 1.68670375757401)</f>
        <v>1.68670375757401</v>
      </c>
      <c r="N122" s="29">
        <f>HYPERLINK("[N&amp;P with New retention and Differentiation.xlsx]'Coastal N Reductions'!D49", 1.68716342244824)</f>
        <v>1.6871634224482399</v>
      </c>
    </row>
    <row r="123" spans="1:14" x14ac:dyDescent="0.55000000000000004">
      <c r="A123" s="30">
        <v>24</v>
      </c>
      <c r="B123" s="6" t="s">
        <v>160</v>
      </c>
      <c r="C123" s="26">
        <f>HYPERLINK("[N&amp;P Old retention.xlsx]'Coastal N Reductions'!C75", 2750047.19447566)</f>
        <v>2750047.1944756601</v>
      </c>
      <c r="D123" s="26">
        <f>HYPERLINK("[N&amp;P New retention.xlsx]'Coastal N Reductions'!C75", 2277903.72863741)</f>
        <v>2277903.7286374099</v>
      </c>
      <c r="E123" s="26">
        <f>HYPERLINK("[N&amp;P with New retention and Differentiation.xlsx]'Coastal N Reductions'!C75", 2173933.67647428)</f>
        <v>2173933.6764742802</v>
      </c>
      <c r="F123" s="21">
        <f>D123-C123</f>
        <v>-472143.46583825024</v>
      </c>
      <c r="G123" s="22">
        <f>D123/C123-1</f>
        <v>-0.17168558662800393</v>
      </c>
      <c r="H123" s="21">
        <f>E123-C123</f>
        <v>-576113.51800137991</v>
      </c>
      <c r="I123" s="22">
        <f>E123/C123-1</f>
        <v>-0.20949222950016499</v>
      </c>
      <c r="J123" s="21">
        <f>E123-D123</f>
        <v>-103970.05216312967</v>
      </c>
      <c r="K123" s="22">
        <f>E123/D123-1</f>
        <v>-4.5642864909537728E-2</v>
      </c>
      <c r="L123" s="27">
        <f>HYPERLINK("[N&amp;P Old retention.xlsx]'Coastal N Reductions'!D75", 47.1249816819611)</f>
        <v>47.124981681961103</v>
      </c>
      <c r="M123" s="27">
        <f>HYPERLINK("[N&amp;P New retention.xlsx]'Coastal N Reductions'!D75", 47.120818044128)</f>
        <v>47.120818044128001</v>
      </c>
      <c r="N123" s="27">
        <f>HYPERLINK("[N&amp;P with New retention and Differentiation.xlsx]'Coastal N Reductions'!D75", 47.1242499091915)</f>
        <v>47.124249909191498</v>
      </c>
    </row>
    <row r="124" spans="1:14" x14ac:dyDescent="0.55000000000000004">
      <c r="A124" s="31">
        <v>25</v>
      </c>
      <c r="B124" s="5" t="s">
        <v>161</v>
      </c>
      <c r="C124" s="28">
        <f>HYPERLINK("[N&amp;P Old retention.xlsx]'Coastal N Reductions'!C76", 237221.386068006)</f>
        <v>237221.38606800599</v>
      </c>
      <c r="D124" s="28">
        <f>HYPERLINK("[N&amp;P New retention.xlsx]'Coastal N Reductions'!C76", 252632.246707145)</f>
        <v>252632.24670714501</v>
      </c>
      <c r="E124" s="28">
        <f>HYPERLINK("[N&amp;P with New retention and Differentiation.xlsx]'Coastal N Reductions'!C76", 249456.178861914)</f>
        <v>249456.178861914</v>
      </c>
      <c r="F124" s="16">
        <f>D124-C124</f>
        <v>15410.86063913902</v>
      </c>
      <c r="G124" s="17">
        <f>D124/C124-1</f>
        <v>6.4964044324068881E-2</v>
      </c>
      <c r="H124" s="16">
        <f>E124-C124</f>
        <v>12234.792793908011</v>
      </c>
      <c r="I124" s="17">
        <f>E124/C124-1</f>
        <v>5.1575420735466837E-2</v>
      </c>
      <c r="J124" s="21">
        <f>E124-D124</f>
        <v>-3176.0678452310094</v>
      </c>
      <c r="K124" s="22">
        <f>E124/D124-1</f>
        <v>-1.2571901990456325E-2</v>
      </c>
      <c r="L124" s="29">
        <f>HYPERLINK("[N&amp;P Old retention.xlsx]'Coastal N Reductions'!D76", 5.72344573669145)</f>
        <v>5.72344573669145</v>
      </c>
      <c r="M124" s="29">
        <f>HYPERLINK("[N&amp;P New retention.xlsx]'Coastal N Reductions'!D76", 5.75495054344095)</f>
        <v>5.75495054344095</v>
      </c>
      <c r="N124" s="29">
        <f>HYPERLINK("[N&amp;P with New retention and Differentiation.xlsx]'Coastal N Reductions'!D76", 5.72275313278353)</f>
        <v>5.7227531327835299</v>
      </c>
    </row>
    <row r="125" spans="1:14" x14ac:dyDescent="0.55000000000000004">
      <c r="A125" s="30">
        <v>28</v>
      </c>
      <c r="B125" s="6" t="s">
        <v>162</v>
      </c>
      <c r="C125" s="26">
        <f>HYPERLINK("[N&amp;P Old retention.xlsx]'Coastal N Reductions'!C77", 717847.269630041)</f>
        <v>717847.26963004097</v>
      </c>
      <c r="D125" s="26">
        <f>HYPERLINK("[N&amp;P New retention.xlsx]'Coastal N Reductions'!C77", 835591.729782182)</f>
        <v>835591.72978218202</v>
      </c>
      <c r="E125" s="26">
        <f>HYPERLINK("[N&amp;P with New retention and Differentiation.xlsx]'Coastal N Reductions'!C77", 828400.665479222)</f>
        <v>828400.66547922196</v>
      </c>
      <c r="F125" s="16">
        <f>D125-C125</f>
        <v>117744.46015214105</v>
      </c>
      <c r="G125" s="17">
        <f>D125/C125-1</f>
        <v>0.1640243894955864</v>
      </c>
      <c r="H125" s="16">
        <f>E125-C125</f>
        <v>110553.39584918099</v>
      </c>
      <c r="I125" s="17">
        <f>E125/C125-1</f>
        <v>0.15400684870774417</v>
      </c>
      <c r="J125" s="21">
        <f>E125-D125</f>
        <v>-7191.0643029600615</v>
      </c>
      <c r="K125" s="22">
        <f>E125/D125-1</f>
        <v>-8.6059543753916889E-3</v>
      </c>
      <c r="L125" s="27">
        <f>HYPERLINK("[N&amp;P Old retention.xlsx]'Coastal N Reductions'!D77", 19.5818852377891)</f>
        <v>19.581885237789098</v>
      </c>
      <c r="M125" s="27">
        <f>HYPERLINK("[N&amp;P New retention.xlsx]'Coastal N Reductions'!D77", 19.3626562469577)</f>
        <v>19.362656246957702</v>
      </c>
      <c r="N125" s="27">
        <f>HYPERLINK("[N&amp;P with New retention and Differentiation.xlsx]'Coastal N Reductions'!D77", 19.5548349373724)</f>
        <v>19.554834937372402</v>
      </c>
    </row>
    <row r="126" spans="1:14" x14ac:dyDescent="0.55000000000000004">
      <c r="A126" s="31">
        <v>29</v>
      </c>
      <c r="B126" s="5" t="s">
        <v>163</v>
      </c>
      <c r="C126" s="28">
        <f>HYPERLINK("[N&amp;P Old retention.xlsx]'Coastal N Reductions'!C78", 240075.567267102)</f>
        <v>240075.56726710199</v>
      </c>
      <c r="D126" s="28">
        <f>HYPERLINK("[N&amp;P New retention.xlsx]'Coastal N Reductions'!C78", 307739.710568471)</f>
        <v>307739.710568471</v>
      </c>
      <c r="E126" s="28">
        <f>HYPERLINK("[N&amp;P with New retention and Differentiation.xlsx]'Coastal N Reductions'!C78", 307163.955319944)</f>
        <v>307163.95531994401</v>
      </c>
      <c r="F126" s="16">
        <f>D126-C126</f>
        <v>67664.143301369011</v>
      </c>
      <c r="G126" s="17">
        <f>D126/C126-1</f>
        <v>0.28184518762830879</v>
      </c>
      <c r="H126" s="16">
        <f>E126-C126</f>
        <v>67088.388052842027</v>
      </c>
      <c r="I126" s="17">
        <f>E126/C126-1</f>
        <v>0.27944696253992896</v>
      </c>
      <c r="J126" s="21">
        <f>E126-D126</f>
        <v>-575.75524852698436</v>
      </c>
      <c r="K126" s="22">
        <f>E126/D126-1</f>
        <v>-1.8709163255643535E-3</v>
      </c>
      <c r="L126" s="29">
        <f>HYPERLINK("[N&amp;P Old retention.xlsx]'Coastal N Reductions'!D78", 10.100470045753)</f>
        <v>10.100470045752999</v>
      </c>
      <c r="M126" s="29">
        <f>HYPERLINK("[N&amp;P New retention.xlsx]'Coastal N Reductions'!D78", 10.0973929827092)</f>
        <v>10.0973929827092</v>
      </c>
      <c r="N126" s="29">
        <f>HYPERLINK("[N&amp;P with New retention and Differentiation.xlsx]'Coastal N Reductions'!D78", 10.0992151715539)</f>
        <v>10.099215171553899</v>
      </c>
    </row>
    <row r="127" spans="1:14" x14ac:dyDescent="0.55000000000000004">
      <c r="A127" s="30">
        <v>34</v>
      </c>
      <c r="B127" s="6" t="s">
        <v>164</v>
      </c>
      <c r="C127" s="26">
        <f>HYPERLINK("[N&amp;P Old retention.xlsx]'Coastal N Reductions'!C79", 139187.826423269)</f>
        <v>139187.826423269</v>
      </c>
      <c r="D127" s="26">
        <f>HYPERLINK("[N&amp;P New retention.xlsx]'Coastal N Reductions'!C79", 297007.636850868)</f>
        <v>297007.636850868</v>
      </c>
      <c r="E127" s="26">
        <f>HYPERLINK("[N&amp;P with New retention and Differentiation.xlsx]'Coastal N Reductions'!C79", 216356.644109672)</f>
        <v>216356.64410967199</v>
      </c>
      <c r="F127" s="16">
        <f>D127-C127</f>
        <v>157819.810427599</v>
      </c>
      <c r="G127" s="17">
        <f>D127/C127-1</f>
        <v>1.1338621665638366</v>
      </c>
      <c r="H127" s="16">
        <f>E127-C127</f>
        <v>77168.817686402996</v>
      </c>
      <c r="I127" s="17">
        <f>E127/C127-1</f>
        <v>0.55442217663298576</v>
      </c>
      <c r="J127" s="21">
        <f>E127-D127</f>
        <v>-80650.992741196009</v>
      </c>
      <c r="K127" s="22">
        <f>E127/D127-1</f>
        <v>-0.27154518178834597</v>
      </c>
      <c r="L127" s="27">
        <f>HYPERLINK("[N&amp;P Old retention.xlsx]'Coastal N Reductions'!D79", 0.5727402456)</f>
        <v>0.57274024560000003</v>
      </c>
      <c r="M127" s="27">
        <f>HYPERLINK("[N&amp;P New retention.xlsx]'Coastal N Reductions'!D79", 0.54679455434799)</f>
        <v>0.54679455434798996</v>
      </c>
      <c r="N127" s="27">
        <f>HYPERLINK("[N&amp;P with New retention and Differentiation.xlsx]'Coastal N Reductions'!D79", 0.459459298244055)</f>
        <v>0.45945929824405501</v>
      </c>
    </row>
    <row r="128" spans="1:14" x14ac:dyDescent="0.55000000000000004">
      <c r="A128" s="31">
        <v>35</v>
      </c>
      <c r="B128" s="5" t="s">
        <v>165</v>
      </c>
      <c r="C128" s="28">
        <f>HYPERLINK("[N&amp;P Old retention.xlsx]'Coastal N Reductions'!C80", 7962017.89375284)</f>
        <v>7962017.8937528403</v>
      </c>
      <c r="D128" s="28">
        <f>HYPERLINK("[N&amp;P New retention.xlsx]'Coastal N Reductions'!C80", 9096516.93681957)</f>
        <v>9096516.9368195701</v>
      </c>
      <c r="E128" s="28">
        <f>HYPERLINK("[N&amp;P with New retention and Differentiation.xlsx]'Coastal N Reductions'!C80", 8993140.02338647)</f>
        <v>8993140.0233864691</v>
      </c>
      <c r="F128" s="16">
        <f>D128-C128</f>
        <v>1134499.0430667298</v>
      </c>
      <c r="G128" s="17">
        <f>D128/C128-1</f>
        <v>0.1424888838741345</v>
      </c>
      <c r="H128" s="16">
        <f>E128-C128</f>
        <v>1031122.1296336288</v>
      </c>
      <c r="I128" s="17">
        <f>E128/C128-1</f>
        <v>0.12950512588557084</v>
      </c>
      <c r="J128" s="21">
        <f>E128-D128</f>
        <v>-103376.91343310103</v>
      </c>
      <c r="K128" s="22">
        <f>E128/D128-1</f>
        <v>-1.1364450168247053E-2</v>
      </c>
      <c r="L128" s="29">
        <f>HYPERLINK("[N&amp;P Old retention.xlsx]'Coastal N Reductions'!D80", 167.580160282151)</f>
        <v>167.58016028215101</v>
      </c>
      <c r="M128" s="29">
        <f>HYPERLINK("[N&amp;P New retention.xlsx]'Coastal N Reductions'!D80", 167.589200959416)</f>
        <v>167.58920095941599</v>
      </c>
      <c r="N128" s="29">
        <f>HYPERLINK("[N&amp;P with New retention and Differentiation.xlsx]'Coastal N Reductions'!D80", 167.578132811936)</f>
        <v>167.578132811936</v>
      </c>
    </row>
    <row r="129" spans="1:14" x14ac:dyDescent="0.55000000000000004">
      <c r="A129" s="30">
        <v>36</v>
      </c>
      <c r="B129" s="6" t="s">
        <v>166</v>
      </c>
      <c r="C129" s="26">
        <f>HYPERLINK("[N&amp;P Old retention.xlsx]'Coastal N Reductions'!C81", 240605.070983241)</f>
        <v>240605.07098324099</v>
      </c>
      <c r="D129" s="26">
        <f>HYPERLINK("[N&amp;P New retention.xlsx]'Coastal N Reductions'!C81", 296528.841672664)</f>
        <v>296528.84167266398</v>
      </c>
      <c r="E129" s="26">
        <f>HYPERLINK("[N&amp;P with New retention and Differentiation.xlsx]'Coastal N Reductions'!C81", 287830.603827387)</f>
        <v>287830.60382738698</v>
      </c>
      <c r="F129" s="16">
        <f>D129-C129</f>
        <v>55923.770689422992</v>
      </c>
      <c r="G129" s="17">
        <f>D129/C129-1</f>
        <v>0.23242972586109079</v>
      </c>
      <c r="H129" s="16">
        <f>E129-C129</f>
        <v>47225.532844145986</v>
      </c>
      <c r="I129" s="17">
        <f>E129/C129-1</f>
        <v>0.19627821080892938</v>
      </c>
      <c r="J129" s="21">
        <f>E129-D129</f>
        <v>-8698.2378452770063</v>
      </c>
      <c r="K129" s="22">
        <f>E129/D129-1</f>
        <v>-2.9333530580741729E-2</v>
      </c>
      <c r="L129" s="27">
        <f>HYPERLINK("[N&amp;P Old retention.xlsx]'Coastal N Reductions'!D81", 13.0191855269309)</f>
        <v>13.019185526930899</v>
      </c>
      <c r="M129" s="27">
        <f>HYPERLINK("[N&amp;P New retention.xlsx]'Coastal N Reductions'!D81", 13.0175740119677)</f>
        <v>13.017574011967699</v>
      </c>
      <c r="N129" s="27">
        <f>HYPERLINK("[N&amp;P with New retention and Differentiation.xlsx]'Coastal N Reductions'!D81", 13.016968384814)</f>
        <v>13.016968384814</v>
      </c>
    </row>
    <row r="130" spans="1:14" x14ac:dyDescent="0.55000000000000004">
      <c r="A130" s="31">
        <v>37</v>
      </c>
      <c r="B130" s="5" t="s">
        <v>167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x14ac:dyDescent="0.55000000000000004">
      <c r="A131" s="30">
        <v>38</v>
      </c>
      <c r="B131" s="6" t="s">
        <v>168</v>
      </c>
      <c r="C131" s="18"/>
      <c r="D131" s="18"/>
      <c r="E131" s="18"/>
      <c r="F131" s="13"/>
      <c r="G131" s="18"/>
      <c r="H131" s="13"/>
      <c r="I131" s="18"/>
      <c r="J131" s="13"/>
      <c r="K131" s="18"/>
      <c r="L131" s="18"/>
      <c r="M131" s="18"/>
      <c r="N131" s="18"/>
    </row>
    <row r="132" spans="1:14" x14ac:dyDescent="0.55000000000000004">
      <c r="A132" s="31">
        <v>44</v>
      </c>
      <c r="B132" s="5" t="s">
        <v>169</v>
      </c>
      <c r="C132" s="28">
        <f>HYPERLINK("[N&amp;P Old retention.xlsx]'Coastal N Reductions'!C84", 2310117.38063843)</f>
        <v>2310117.3806384299</v>
      </c>
      <c r="D132" s="28">
        <f>HYPERLINK("[N&amp;P New retention.xlsx]'Coastal N Reductions'!C84", 3047677.93746329)</f>
        <v>3047677.9374632901</v>
      </c>
      <c r="E132" s="28">
        <f>HYPERLINK("[N&amp;P with New retention and Differentiation.xlsx]'Coastal N Reductions'!C84", 3046876.67891246)</f>
        <v>3046876.6789124599</v>
      </c>
      <c r="F132" s="16">
        <f>D132-C132</f>
        <v>737560.55682486016</v>
      </c>
      <c r="G132" s="17">
        <f>D132/C132-1</f>
        <v>0.31927406070639841</v>
      </c>
      <c r="H132" s="16">
        <f>E132-C132</f>
        <v>736759.29827402998</v>
      </c>
      <c r="I132" s="17">
        <f>E132/C132-1</f>
        <v>0.31892721315763506</v>
      </c>
      <c r="J132" s="21">
        <f>E132-D132</f>
        <v>-801.25855083018541</v>
      </c>
      <c r="K132" s="22">
        <f>E132/D132-1</f>
        <v>-2.6290788176164259E-4</v>
      </c>
      <c r="L132" s="29">
        <f>HYPERLINK("[N&amp;P Old retention.xlsx]'Coastal N Reductions'!D84", 34.5529749358499)</f>
        <v>34.552974935849903</v>
      </c>
      <c r="M132" s="29">
        <f>HYPERLINK("[N&amp;P New retention.xlsx]'Coastal N Reductions'!D84", 34.5422628935524)</f>
        <v>34.542262893552397</v>
      </c>
      <c r="N132" s="29">
        <f>HYPERLINK("[N&amp;P with New retention and Differentiation.xlsx]'Coastal N Reductions'!D84", 34.5542081173172)</f>
        <v>34.554208117317202</v>
      </c>
    </row>
    <row r="133" spans="1:14" x14ac:dyDescent="0.55000000000000004">
      <c r="A133" s="30">
        <v>45</v>
      </c>
      <c r="B133" s="6" t="s">
        <v>170</v>
      </c>
      <c r="C133" s="26">
        <f>HYPERLINK("[N&amp;P Old retention.xlsx]'Coastal N Reductions'!C85", 12472124.7806969)</f>
        <v>12472124.780696901</v>
      </c>
      <c r="D133" s="26">
        <f>HYPERLINK("[N&amp;P New retention.xlsx]'Coastal N Reductions'!C85", 15160361.7715837)</f>
        <v>15160361.771583701</v>
      </c>
      <c r="E133" s="26">
        <f>HYPERLINK("[N&amp;P with New retention and Differentiation.xlsx]'Coastal N Reductions'!C85", 15145242.5904369)</f>
        <v>15145242.5904369</v>
      </c>
      <c r="F133" s="16">
        <f>D133-C133</f>
        <v>2688236.9908868</v>
      </c>
      <c r="G133" s="17">
        <f>D133/C133-1</f>
        <v>0.21553961639698982</v>
      </c>
      <c r="H133" s="16">
        <f>E133-C133</f>
        <v>2673117.8097399995</v>
      </c>
      <c r="I133" s="17">
        <f>E133/C133-1</f>
        <v>0.21432737859367657</v>
      </c>
      <c r="J133" s="21">
        <f>E133-D133</f>
        <v>-15119.181146800518</v>
      </c>
      <c r="K133" s="22">
        <f>E133/D133-1</f>
        <v>-9.9728366476981023E-4</v>
      </c>
      <c r="L133" s="27">
        <f>HYPERLINK("[N&amp;P Old retention.xlsx]'Coastal N Reductions'!D85", 132.969474011086)</f>
        <v>132.96947401108599</v>
      </c>
      <c r="M133" s="27">
        <f>HYPERLINK("[N&amp;P New retention.xlsx]'Coastal N Reductions'!D85", 132.97447666931)</f>
        <v>132.97447666931001</v>
      </c>
      <c r="N133" s="27">
        <f>HYPERLINK("[N&amp;P with New retention and Differentiation.xlsx]'Coastal N Reductions'!D85", 132.971458202251)</f>
        <v>132.971458202251</v>
      </c>
    </row>
    <row r="134" spans="1:14" x14ac:dyDescent="0.55000000000000004">
      <c r="A134" s="31">
        <v>46</v>
      </c>
      <c r="B134" s="5" t="s">
        <v>171</v>
      </c>
      <c r="C134" s="28">
        <f>HYPERLINK("[N&amp;P Old retention.xlsx]'Coastal N Reductions'!C86", 13441.2881440975)</f>
        <v>13441.2881440975</v>
      </c>
      <c r="D134" s="28">
        <f>HYPERLINK("[N&amp;P New retention.xlsx]'Coastal N Reductions'!C86", 13441.2881440975)</f>
        <v>13441.2881440975</v>
      </c>
      <c r="E134" s="28">
        <f>HYPERLINK("[N&amp;P with New retention and Differentiation.xlsx]'Coastal N Reductions'!C86", 13441.2881440975)</f>
        <v>13441.2881440975</v>
      </c>
      <c r="F134" s="13"/>
      <c r="G134" s="13"/>
      <c r="H134" s="13"/>
      <c r="I134" s="13"/>
      <c r="J134" s="13"/>
      <c r="K134" s="13"/>
      <c r="L134" s="29">
        <f>HYPERLINK("[N&amp;P Old retention.xlsx]'Coastal N Reductions'!D86", 0.0070850933999999)</f>
        <v>7.0850933999999002E-3</v>
      </c>
      <c r="M134" s="29">
        <f>HYPERLINK("[N&amp;P New retention.xlsx]'Coastal N Reductions'!D86", 0.0336826075911213)</f>
        <v>3.3682607591121301E-2</v>
      </c>
      <c r="N134" s="29">
        <f>HYPERLINK("[N&amp;P with New retention and Differentiation.xlsx]'Coastal N Reductions'!D86", 0.0336826075911213)</f>
        <v>3.3682607591121301E-2</v>
      </c>
    </row>
    <row r="135" spans="1:14" x14ac:dyDescent="0.55000000000000004">
      <c r="A135" s="30">
        <v>47</v>
      </c>
      <c r="B135" s="6" t="s">
        <v>172</v>
      </c>
      <c r="C135" s="26">
        <f>HYPERLINK("[N&amp;P Old retention.xlsx]'Coastal N Reductions'!C87", 6646395.96446561)</f>
        <v>6646395.9644656098</v>
      </c>
      <c r="D135" s="26">
        <f>HYPERLINK("[N&amp;P New retention.xlsx]'Coastal N Reductions'!C87", 8718672.77758447)</f>
        <v>8718672.7775844708</v>
      </c>
      <c r="E135" s="26">
        <f>HYPERLINK("[N&amp;P with New retention and Differentiation.xlsx]'Coastal N Reductions'!C87", 8701957.43216739)</f>
        <v>8701957.4321673904</v>
      </c>
      <c r="F135" s="16">
        <f>D135-C135</f>
        <v>2072276.8131188611</v>
      </c>
      <c r="G135" s="17">
        <f>D135/C135-1</f>
        <v>0.31178955093829996</v>
      </c>
      <c r="H135" s="16">
        <f>E135-C135</f>
        <v>2055561.4677017806</v>
      </c>
      <c r="I135" s="17">
        <f>E135/C135-1</f>
        <v>0.30927460215907465</v>
      </c>
      <c r="J135" s="21">
        <f>E135-D135</f>
        <v>-16715.345417080447</v>
      </c>
      <c r="K135" s="22">
        <f>E135/D135-1</f>
        <v>-1.917189214860282E-3</v>
      </c>
      <c r="L135" s="27">
        <f>HYPERLINK("[N&amp;P Old retention.xlsx]'Coastal N Reductions'!D87", 116.880147038145)</f>
        <v>116.880147038145</v>
      </c>
      <c r="M135" s="27">
        <f>HYPERLINK("[N&amp;P New retention.xlsx]'Coastal N Reductions'!D87", 116.902050133858)</f>
        <v>116.902050133858</v>
      </c>
      <c r="N135" s="27">
        <f>HYPERLINK("[N&amp;P with New retention and Differentiation.xlsx]'Coastal N Reductions'!D87", 116.907786677572)</f>
        <v>116.90778667757201</v>
      </c>
    </row>
    <row r="136" spans="1:14" x14ac:dyDescent="0.55000000000000004">
      <c r="A136" s="31">
        <v>48</v>
      </c>
      <c r="B136" s="5" t="s">
        <v>173</v>
      </c>
      <c r="C136" s="28">
        <f>HYPERLINK("[N&amp;P Old retention.xlsx]'Coastal N Reductions'!C88", 2850307.42447144)</f>
        <v>2850307.4244714398</v>
      </c>
      <c r="D136" s="28">
        <f>HYPERLINK("[N&amp;P New retention.xlsx]'Coastal N Reductions'!C88", 3365556.95256197)</f>
        <v>3365556.9525619699</v>
      </c>
      <c r="E136" s="28">
        <f>HYPERLINK("[N&amp;P with New retention and Differentiation.xlsx]'Coastal N Reductions'!C88", 3364499.9827527)</f>
        <v>3364499.9827526999</v>
      </c>
      <c r="F136" s="16">
        <f>D136-C136</f>
        <v>515249.52809053008</v>
      </c>
      <c r="G136" s="17">
        <f>D136/C136-1</f>
        <v>0.18076980878161875</v>
      </c>
      <c r="H136" s="16">
        <f>E136-C136</f>
        <v>514192.55828126008</v>
      </c>
      <c r="I136" s="17">
        <f>E136/C136-1</f>
        <v>0.18039898218228578</v>
      </c>
      <c r="J136" s="21">
        <f>E136-D136</f>
        <v>-1056.9698092699982</v>
      </c>
      <c r="K136" s="22">
        <f>E136/D136-1</f>
        <v>-3.1405494667546829E-4</v>
      </c>
      <c r="L136" s="29">
        <f>HYPERLINK("[N&amp;P Old retention.xlsx]'Coastal N Reductions'!D88", 51.4512991201833)</f>
        <v>51.4512991201833</v>
      </c>
      <c r="M136" s="29">
        <f>HYPERLINK("[N&amp;P New retention.xlsx]'Coastal N Reductions'!D88", 51.4537963790652)</f>
        <v>51.453796379065203</v>
      </c>
      <c r="N136" s="29">
        <f>HYPERLINK("[N&amp;P with New retention and Differentiation.xlsx]'Coastal N Reductions'!D88", 51.4503589288437)</f>
        <v>51.450358928843698</v>
      </c>
    </row>
    <row r="137" spans="1:14" x14ac:dyDescent="0.55000000000000004">
      <c r="A137" s="30">
        <v>49</v>
      </c>
      <c r="B137" s="6" t="s">
        <v>174</v>
      </c>
      <c r="C137" s="26">
        <f>HYPERLINK("[N&amp;P Old retention.xlsx]'Coastal N Reductions'!C89", 3167496.10848508)</f>
        <v>3167496.1084850798</v>
      </c>
      <c r="D137" s="26">
        <f>HYPERLINK("[N&amp;P New retention.xlsx]'Coastal N Reductions'!C89", 3165647.63511519)</f>
        <v>3165647.6351151899</v>
      </c>
      <c r="E137" s="26">
        <f>HYPERLINK("[N&amp;P with New retention and Differentiation.xlsx]'Coastal N Reductions'!C89", 3315644.02998212)</f>
        <v>3315644.0299821198</v>
      </c>
      <c r="F137" s="21">
        <f>D137-C137</f>
        <v>-1848.4733698898926</v>
      </c>
      <c r="G137" s="22">
        <f>D137/C137-1</f>
        <v>-5.8357557723220932E-4</v>
      </c>
      <c r="H137" s="16">
        <f>E137-C137</f>
        <v>148147.92149703996</v>
      </c>
      <c r="I137" s="17">
        <f>E137/C137-1</f>
        <v>4.6771303396452968E-2</v>
      </c>
      <c r="J137" s="16">
        <f>E137-D137</f>
        <v>149996.39486692986</v>
      </c>
      <c r="K137" s="17">
        <f>E137/D137-1</f>
        <v>4.7382530261133038E-2</v>
      </c>
      <c r="L137" s="27">
        <f>HYPERLINK("[N&amp;P Old retention.xlsx]'Coastal N Reductions'!D89", 17.68446208982)</f>
        <v>17.684462089819998</v>
      </c>
      <c r="M137" s="27">
        <f>HYPERLINK("[N&amp;P New retention.xlsx]'Coastal N Reductions'!D89", 15.4523993225137)</f>
        <v>15.452399322513701</v>
      </c>
      <c r="N137" s="27">
        <f>HYPERLINK("[N&amp;P with New retention and Differentiation.xlsx]'Coastal N Reductions'!D89", 15.5527930764916)</f>
        <v>15.5527930764916</v>
      </c>
    </row>
    <row r="138" spans="1:14" x14ac:dyDescent="0.55000000000000004">
      <c r="A138" s="31">
        <v>56</v>
      </c>
      <c r="B138" s="5" t="s">
        <v>175</v>
      </c>
      <c r="C138" s="28">
        <f>HYPERLINK("[N&amp;P Old retention.xlsx]'Coastal N Reductions'!C90", 130489.166463439)</f>
        <v>130489.166463439</v>
      </c>
      <c r="D138" s="28">
        <f>HYPERLINK("[N&amp;P New retention.xlsx]'Coastal N Reductions'!C90", 130489.166463439)</f>
        <v>130489.166463439</v>
      </c>
      <c r="E138" s="28">
        <f>HYPERLINK("[N&amp;P with New retention and Differentiation.xlsx]'Coastal N Reductions'!C90", 128101.315483439)</f>
        <v>128101.315483439</v>
      </c>
      <c r="F138" s="13"/>
      <c r="G138" s="13"/>
      <c r="H138" s="21">
        <f>E138-C138</f>
        <v>-2387.8509800000029</v>
      </c>
      <c r="I138" s="22">
        <f>E138/C138-1</f>
        <v>-1.8299227780484317E-2</v>
      </c>
      <c r="J138" s="21">
        <f>E138-D138</f>
        <v>-2387.8509800000029</v>
      </c>
      <c r="K138" s="22">
        <f>E138/D138-1</f>
        <v>-1.8299227780484317E-2</v>
      </c>
      <c r="L138" s="29">
        <f>HYPERLINK("[N&amp;P Old retention.xlsx]'Coastal N Reductions'!D90", 0.633546444)</f>
        <v>0.63354644400000004</v>
      </c>
      <c r="M138" s="29">
        <f>HYPERLINK("[N&amp;P New retention.xlsx]'Coastal N Reductions'!D90", 0.713107163829633)</f>
        <v>0.71310716382963302</v>
      </c>
      <c r="N138" s="29">
        <f>HYPERLINK("[N&amp;P with New retention and Differentiation.xlsx]'Coastal N Reductions'!D90", 0.695369329762262)</f>
        <v>0.69536932976226196</v>
      </c>
    </row>
    <row r="139" spans="1:14" x14ac:dyDescent="0.55000000000000004">
      <c r="A139" s="30">
        <v>57</v>
      </c>
      <c r="B139" s="6" t="s">
        <v>176</v>
      </c>
      <c r="C139" s="18"/>
      <c r="D139" s="18"/>
      <c r="E139" s="18"/>
      <c r="F139" s="13"/>
      <c r="G139" s="18"/>
      <c r="H139" s="13"/>
      <c r="I139" s="18"/>
      <c r="J139" s="13"/>
      <c r="K139" s="18"/>
      <c r="L139" s="18"/>
      <c r="M139" s="18"/>
      <c r="N139" s="18"/>
    </row>
    <row r="140" spans="1:14" x14ac:dyDescent="0.55000000000000004">
      <c r="A140" s="31">
        <v>59</v>
      </c>
      <c r="B140" s="5" t="s">
        <v>177</v>
      </c>
      <c r="C140" s="28">
        <f>HYPERLINK("[N&amp;P Old retention.xlsx]'Coastal N Reductions'!C92", 2891788.01379014)</f>
        <v>2891788.0137901399</v>
      </c>
      <c r="D140" s="28">
        <f>HYPERLINK("[N&amp;P New retention.xlsx]'Coastal N Reductions'!C92", 2444776.83697374)</f>
        <v>2444776.8369737398</v>
      </c>
      <c r="E140" s="28">
        <f>HYPERLINK("[N&amp;P with New retention and Differentiation.xlsx]'Coastal N Reductions'!C92", 2445332.48693471)</f>
        <v>2445332.4869347098</v>
      </c>
      <c r="F140" s="21">
        <f>D140-C140</f>
        <v>-447011.17681640014</v>
      </c>
      <c r="G140" s="22">
        <f>D140/C140-1</f>
        <v>-0.15457951090630673</v>
      </c>
      <c r="H140" s="21">
        <f>E140-C140</f>
        <v>-446455.5268554301</v>
      </c>
      <c r="I140" s="22">
        <f>E140/C140-1</f>
        <v>-0.1543873633635684</v>
      </c>
      <c r="J140" s="16">
        <f>E140-D140</f>
        <v>555.64996097004041</v>
      </c>
      <c r="K140" s="17">
        <f>E140/D140-1</f>
        <v>2.2728044235642564E-4</v>
      </c>
      <c r="L140" s="29">
        <f>HYPERLINK("[N&amp;P Old retention.xlsx]'Coastal N Reductions'!D92", 65.309396707432)</f>
        <v>65.309396707432001</v>
      </c>
      <c r="M140" s="29">
        <f>HYPERLINK("[N&amp;P New retention.xlsx]'Coastal N Reductions'!D92", 65.3031730312547)</f>
        <v>65.303173031254701</v>
      </c>
      <c r="N140" s="29">
        <f>HYPERLINK("[N&amp;P with New retention and Differentiation.xlsx]'Coastal N Reductions'!D92", 65.3104021129351)</f>
        <v>65.310402112935094</v>
      </c>
    </row>
    <row r="141" spans="1:14" x14ac:dyDescent="0.55000000000000004">
      <c r="A141" s="30">
        <v>62</v>
      </c>
      <c r="B141" s="6" t="s">
        <v>178</v>
      </c>
      <c r="C141" s="26">
        <f>HYPERLINK("[N&amp;P Old retention.xlsx]'Coastal N Reductions'!C94", 54525.2136868051)</f>
        <v>54525.213686805102</v>
      </c>
      <c r="D141" s="26">
        <f>HYPERLINK("[N&amp;P New retention.xlsx]'Coastal N Reductions'!C94", 38110.8739660049)</f>
        <v>38110.873966004903</v>
      </c>
      <c r="E141" s="26">
        <f>HYPERLINK("[N&amp;P with New retention and Differentiation.xlsx]'Coastal N Reductions'!C94", 38097.4849343132)</f>
        <v>38097.484934313201</v>
      </c>
      <c r="F141" s="21">
        <f>D141-C141</f>
        <v>-16414.339720800199</v>
      </c>
      <c r="G141" s="22">
        <f>D141/C141-1</f>
        <v>-0.30104127266854541</v>
      </c>
      <c r="H141" s="21">
        <f>E141-C141</f>
        <v>-16427.728752491901</v>
      </c>
      <c r="I141" s="22">
        <f>E141/C141-1</f>
        <v>-0.30128682937133267</v>
      </c>
      <c r="J141" s="21">
        <f>E141-D141</f>
        <v>-13.389031691702257</v>
      </c>
      <c r="K141" s="22">
        <f>E141/D141-1</f>
        <v>-3.5131788642905892E-4</v>
      </c>
      <c r="L141" s="27">
        <f>HYPERLINK("[N&amp;P Old retention.xlsx]'Coastal N Reductions'!D94", 2.62774020502)</f>
        <v>2.6277402050199998</v>
      </c>
      <c r="M141" s="27">
        <f>HYPERLINK("[N&amp;P New retention.xlsx]'Coastal N Reductions'!D94", 2.62943919598821)</f>
        <v>2.6294391959882102</v>
      </c>
      <c r="N141" s="27">
        <f>HYPERLINK("[N&amp;P with New retention and Differentiation.xlsx]'Coastal N Reductions'!D94", 2.62732050453369)</f>
        <v>2.62732050453369</v>
      </c>
    </row>
    <row r="142" spans="1:14" x14ac:dyDescent="0.55000000000000004">
      <c r="A142" s="31">
        <v>68</v>
      </c>
      <c r="B142" s="5" t="s">
        <v>179</v>
      </c>
      <c r="C142" s="28">
        <f>HYPERLINK("[N&amp;P Old retention.xlsx]'Coastal N Reductions'!C95", 1166581.81799315)</f>
        <v>1166581.8179931501</v>
      </c>
      <c r="D142" s="28">
        <f>HYPERLINK("[N&amp;P New retention.xlsx]'Coastal N Reductions'!C95", 875418.850187627)</f>
        <v>875418.85018762702</v>
      </c>
      <c r="E142" s="28">
        <f>HYPERLINK("[N&amp;P with New retention and Differentiation.xlsx]'Coastal N Reductions'!C95", 876424.76121577)</f>
        <v>876424.76121577004</v>
      </c>
      <c r="F142" s="21">
        <f>D142-C142</f>
        <v>-291162.96780552308</v>
      </c>
      <c r="G142" s="22">
        <f>D142/C142-1</f>
        <v>-0.24958640989828351</v>
      </c>
      <c r="H142" s="21">
        <f>E142-C142</f>
        <v>-290157.05677738006</v>
      </c>
      <c r="I142" s="22">
        <f>E142/C142-1</f>
        <v>-0.24872413773474722</v>
      </c>
      <c r="J142" s="16">
        <f>E142-D142</f>
        <v>1005.9110281430185</v>
      </c>
      <c r="K142" s="17">
        <f>E142/D142-1</f>
        <v>1.1490625635115492E-3</v>
      </c>
      <c r="L142" s="29">
        <f>HYPERLINK("[N&amp;P Old retention.xlsx]'Coastal N Reductions'!D95", 16.4221232168168)</f>
        <v>16.4221232168168</v>
      </c>
      <c r="M142" s="29">
        <f>HYPERLINK("[N&amp;P New retention.xlsx]'Coastal N Reductions'!D95", 16.7947080208989)</f>
        <v>16.794708020898899</v>
      </c>
      <c r="N142" s="29">
        <f>HYPERLINK("[N&amp;P with New retention and Differentiation.xlsx]'Coastal N Reductions'!D95", 16.8017103947129)</f>
        <v>16.801710394712899</v>
      </c>
    </row>
    <row r="143" spans="1:14" x14ac:dyDescent="0.55000000000000004">
      <c r="A143" s="30">
        <v>72</v>
      </c>
      <c r="B143" s="6" t="s">
        <v>180</v>
      </c>
      <c r="C143" s="26">
        <f>HYPERLINK("[N&amp;P Old retention.xlsx]'Coastal N Reductions'!C96", 1052510.49484374)</f>
        <v>1052510.49484374</v>
      </c>
      <c r="D143" s="26">
        <f>HYPERLINK("[N&amp;P New retention.xlsx]'Coastal N Reductions'!C96", 1306479.19455261)</f>
        <v>1306479.1945526099</v>
      </c>
      <c r="E143" s="26">
        <f>HYPERLINK("[N&amp;P with New retention and Differentiation.xlsx]'Coastal N Reductions'!C96", 1308472.70856652)</f>
        <v>1308472.7085665199</v>
      </c>
      <c r="F143" s="16">
        <f>D143-C143</f>
        <v>253968.69970886991</v>
      </c>
      <c r="G143" s="17">
        <f>D143/C143-1</f>
        <v>0.24129802121030175</v>
      </c>
      <c r="H143" s="16">
        <f>E143-C143</f>
        <v>255962.21372277988</v>
      </c>
      <c r="I143" s="17">
        <f>E143/C143-1</f>
        <v>0.24319207739660698</v>
      </c>
      <c r="J143" s="16">
        <f>E143-D143</f>
        <v>1993.5140139099676</v>
      </c>
      <c r="K143" s="17">
        <f>E143/D143-1</f>
        <v>1.5258674016562779E-3</v>
      </c>
      <c r="L143" s="27">
        <f>HYPERLINK("[N&amp;P Old retention.xlsx]'Coastal N Reductions'!D96", 13.4487172936204)</f>
        <v>13.448717293620399</v>
      </c>
      <c r="M143" s="27">
        <f>HYPERLINK("[N&amp;P New retention.xlsx]'Coastal N Reductions'!D96", 13.4369227351399)</f>
        <v>13.4369227351399</v>
      </c>
      <c r="N143" s="27">
        <f>HYPERLINK("[N&amp;P with New retention and Differentiation.xlsx]'Coastal N Reductions'!D96", 13.4510687696317)</f>
        <v>13.4510687696317</v>
      </c>
    </row>
    <row r="144" spans="1:14" x14ac:dyDescent="0.55000000000000004">
      <c r="A144" s="31">
        <v>74</v>
      </c>
      <c r="B144" s="5" t="s">
        <v>181</v>
      </c>
      <c r="C144" s="28">
        <f>HYPERLINK("[N&amp;P Old retention.xlsx]'Coastal N Reductions'!C97", 3073185.22358717)</f>
        <v>3073185.2235871698</v>
      </c>
      <c r="D144" s="28">
        <f>HYPERLINK("[N&amp;P New retention.xlsx]'Coastal N Reductions'!C97", 4031903.82264092)</f>
        <v>4031903.8226409201</v>
      </c>
      <c r="E144" s="28">
        <f>HYPERLINK("[N&amp;P with New retention and Differentiation.xlsx]'Coastal N Reductions'!C97", 4076667.81932203)</f>
        <v>4076667.8193220301</v>
      </c>
      <c r="F144" s="16">
        <f>D144-C144</f>
        <v>958718.59905375028</v>
      </c>
      <c r="G144" s="17">
        <f>D144/C144-1</f>
        <v>0.31196251748688542</v>
      </c>
      <c r="H144" s="16">
        <f>E144-C144</f>
        <v>1003482.5957348603</v>
      </c>
      <c r="I144" s="17">
        <f>E144/C144-1</f>
        <v>0.32652851121142223</v>
      </c>
      <c r="J144" s="16">
        <f>E144-D144</f>
        <v>44763.996681110002</v>
      </c>
      <c r="K144" s="17">
        <f>E144/D144-1</f>
        <v>1.1102446548883593E-2</v>
      </c>
      <c r="L144" s="29">
        <f>HYPERLINK("[N&amp;P Old retention.xlsx]'Coastal N Reductions'!D97", 56.6503129568182)</f>
        <v>56.650312956818198</v>
      </c>
      <c r="M144" s="29">
        <f>HYPERLINK("[N&amp;P New retention.xlsx]'Coastal N Reductions'!D97", 56.2494491451014)</f>
        <v>56.249449145101401</v>
      </c>
      <c r="N144" s="29">
        <f>HYPERLINK("[N&amp;P with New retention and Differentiation.xlsx]'Coastal N Reductions'!D97", 56.651070178766)</f>
        <v>56.651070178765998</v>
      </c>
    </row>
    <row r="145" spans="1:14" x14ac:dyDescent="0.55000000000000004">
      <c r="A145" s="30">
        <v>80</v>
      </c>
      <c r="B145" s="6" t="s">
        <v>182</v>
      </c>
      <c r="C145" s="26">
        <f>HYPERLINK("[N&amp;P Old retention.xlsx]'Coastal N Reductions'!C98", 6201816.36318424)</f>
        <v>6201816.3631842397</v>
      </c>
      <c r="D145" s="26">
        <f>HYPERLINK("[N&amp;P New retention.xlsx]'Coastal N Reductions'!C98", 7831180.15839987)</f>
        <v>7831180.1583998697</v>
      </c>
      <c r="E145" s="26">
        <f>HYPERLINK("[N&amp;P with New retention and Differentiation.xlsx]'Coastal N Reductions'!C98", 7839673.54884276)</f>
        <v>7839673.5488427598</v>
      </c>
      <c r="F145" s="16">
        <f>D145-C145</f>
        <v>1629363.79521563</v>
      </c>
      <c r="G145" s="17">
        <f>D145/C145-1</f>
        <v>0.26272364413883653</v>
      </c>
      <c r="H145" s="16">
        <f>E145-C145</f>
        <v>1637857.1856585201</v>
      </c>
      <c r="I145" s="17">
        <f>E145/C145-1</f>
        <v>0.26409314461184463</v>
      </c>
      <c r="J145" s="16">
        <f>E145-D145</f>
        <v>8493.3904428901151</v>
      </c>
      <c r="K145" s="17">
        <f>E145/D145-1</f>
        <v>1.0845607266205537E-3</v>
      </c>
      <c r="L145" s="27">
        <f>HYPERLINK("[N&amp;P Old retention.xlsx]'Coastal N Reductions'!D98", 59.207685240797)</f>
        <v>59.207685240796998</v>
      </c>
      <c r="M145" s="27">
        <f>HYPERLINK("[N&amp;P New retention.xlsx]'Coastal N Reductions'!D98", 59.1887957750329)</f>
        <v>59.188795775032901</v>
      </c>
      <c r="N145" s="27">
        <f>HYPERLINK("[N&amp;P with New retention and Differentiation.xlsx]'Coastal N Reductions'!D98", 59.2077810596662)</f>
        <v>59.207781059666203</v>
      </c>
    </row>
    <row r="146" spans="1:14" x14ac:dyDescent="0.55000000000000004">
      <c r="A146" s="31">
        <v>82</v>
      </c>
      <c r="B146" s="5" t="s">
        <v>183</v>
      </c>
      <c r="C146" s="28">
        <f>HYPERLINK("[N&amp;P Old retention.xlsx]'Coastal N Reductions'!C99", 7088753.68696617)</f>
        <v>7088753.6869661696</v>
      </c>
      <c r="D146" s="28">
        <f>HYPERLINK("[N&amp;P New retention.xlsx]'Coastal N Reductions'!C99", 7244637.32814747)</f>
        <v>7244637.32814747</v>
      </c>
      <c r="E146" s="28">
        <f>HYPERLINK("[N&amp;P with New retention and Differentiation.xlsx]'Coastal N Reductions'!C99", 7247843.72241146)</f>
        <v>7247843.7224114602</v>
      </c>
      <c r="F146" s="16">
        <f>D146-C146</f>
        <v>155883.64118130039</v>
      </c>
      <c r="G146" s="17">
        <f>D146/C146-1</f>
        <v>2.199027474574522E-2</v>
      </c>
      <c r="H146" s="16">
        <f>E146-C146</f>
        <v>159090.03544529062</v>
      </c>
      <c r="I146" s="17">
        <f>E146/C146-1</f>
        <v>2.2442596043053875E-2</v>
      </c>
      <c r="J146" s="16">
        <f>E146-D146</f>
        <v>3206.3942639902234</v>
      </c>
      <c r="K146" s="17">
        <f>E146/D146-1</f>
        <v>4.4258865126800551E-4</v>
      </c>
      <c r="L146" s="29">
        <f>HYPERLINK("[N&amp;P Old retention.xlsx]'Coastal N Reductions'!D99", 85.6818699247517)</f>
        <v>85.681869924751695</v>
      </c>
      <c r="M146" s="29">
        <f>HYPERLINK("[N&amp;P New retention.xlsx]'Coastal N Reductions'!D99", 85.6994024367793)</f>
        <v>85.699402436779295</v>
      </c>
      <c r="N146" s="29">
        <f>HYPERLINK("[N&amp;P with New retention and Differentiation.xlsx]'Coastal N Reductions'!D99", 85.7169309576739)</f>
        <v>85.716930957673895</v>
      </c>
    </row>
    <row r="147" spans="1:14" x14ac:dyDescent="0.55000000000000004">
      <c r="A147" s="30">
        <v>83</v>
      </c>
      <c r="B147" s="6" t="s">
        <v>184</v>
      </c>
      <c r="C147" s="26">
        <f>HYPERLINK("[N&amp;P Old retention.xlsx]'Coastal N Reductions'!C100", 7435561.84650276)</f>
        <v>7435561.8465027604</v>
      </c>
      <c r="D147" s="26">
        <f>HYPERLINK("[N&amp;P New retention.xlsx]'Coastal N Reductions'!C100", 7456291.29633074)</f>
        <v>7456291.2963307397</v>
      </c>
      <c r="E147" s="26">
        <f>HYPERLINK("[N&amp;P with New retention and Differentiation.xlsx]'Coastal N Reductions'!C100", 7386151.3586402)</f>
        <v>7386151.3586402005</v>
      </c>
      <c r="F147" s="16">
        <f>D147-C147</f>
        <v>20729.449827979319</v>
      </c>
      <c r="G147" s="17">
        <f>D147/C147-1</f>
        <v>2.7878794173070709E-3</v>
      </c>
      <c r="H147" s="21">
        <f>E147-C147</f>
        <v>-49410.487862559967</v>
      </c>
      <c r="I147" s="22">
        <f>E147/C147-1</f>
        <v>-6.6451586151219377E-3</v>
      </c>
      <c r="J147" s="21">
        <f>E147-D147</f>
        <v>-70139.937690539286</v>
      </c>
      <c r="K147" s="22">
        <f>E147/D147-1</f>
        <v>-9.4068129721615046E-3</v>
      </c>
      <c r="L147" s="27">
        <f>HYPERLINK("[N&amp;P Old retention.xlsx]'Coastal N Reductions'!D100", 119.792000153929)</f>
        <v>119.792000153929</v>
      </c>
      <c r="M147" s="27">
        <f>HYPERLINK("[N&amp;P New retention.xlsx]'Coastal N Reductions'!D100", 119.965362505583)</f>
        <v>119.965362505583</v>
      </c>
      <c r="N147" s="27">
        <f>HYPERLINK("[N&amp;P with New retention and Differentiation.xlsx]'Coastal N Reductions'!D100", 119.796313555881)</f>
        <v>119.796313555881</v>
      </c>
    </row>
    <row r="148" spans="1:14" x14ac:dyDescent="0.55000000000000004">
      <c r="A148" s="31">
        <v>84</v>
      </c>
      <c r="B148" s="5" t="s">
        <v>185</v>
      </c>
      <c r="C148" s="28">
        <f>HYPERLINK("[N&amp;P Old retention.xlsx]'Coastal N Reductions'!C101", 734649.574089941)</f>
        <v>734649.57408994099</v>
      </c>
      <c r="D148" s="28">
        <f>HYPERLINK("[N&amp;P New retention.xlsx]'Coastal N Reductions'!C101", 687970.38904979)</f>
        <v>687970.38904978998</v>
      </c>
      <c r="E148" s="28">
        <f>HYPERLINK("[N&amp;P with New retention and Differentiation.xlsx]'Coastal N Reductions'!C101", 687970.38904979)</f>
        <v>687970.38904978998</v>
      </c>
      <c r="F148" s="21">
        <f>D148-C148</f>
        <v>-46679.185040151002</v>
      </c>
      <c r="G148" s="22">
        <f>D148/C148-1</f>
        <v>-6.3539388963745891E-2</v>
      </c>
      <c r="H148" s="21">
        <f>E148-C148</f>
        <v>-46679.185040151002</v>
      </c>
      <c r="I148" s="22">
        <f>E148/C148-1</f>
        <v>-6.3539388963745891E-2</v>
      </c>
      <c r="J148" s="13"/>
      <c r="K148" s="13"/>
      <c r="L148" s="29">
        <f>HYPERLINK("[N&amp;P Old retention.xlsx]'Coastal N Reductions'!D101", 11.8304309323876)</f>
        <v>11.8304309323876</v>
      </c>
      <c r="M148" s="29">
        <f>HYPERLINK("[N&amp;P New retention.xlsx]'Coastal N Reductions'!D101", 11.8315526493975)</f>
        <v>11.8315526493975</v>
      </c>
      <c r="N148" s="29">
        <f>HYPERLINK("[N&amp;P with New retention and Differentiation.xlsx]'Coastal N Reductions'!D101", 11.8315526493975)</f>
        <v>11.8315526493975</v>
      </c>
    </row>
    <row r="149" spans="1:14" x14ac:dyDescent="0.55000000000000004">
      <c r="A149" s="30">
        <v>85</v>
      </c>
      <c r="B149" s="6" t="s">
        <v>186</v>
      </c>
      <c r="C149" s="26">
        <f>HYPERLINK("[N&amp;P Old retention.xlsx]'Coastal N Reductions'!C102", 309216.891466298)</f>
        <v>309216.89146629802</v>
      </c>
      <c r="D149" s="26">
        <f>HYPERLINK("[N&amp;P New retention.xlsx]'Coastal N Reductions'!C102", 316140.716100985)</f>
        <v>316140.71610098501</v>
      </c>
      <c r="E149" s="26">
        <f>HYPERLINK("[N&amp;P with New retention and Differentiation.xlsx]'Coastal N Reductions'!C102", 315726.915223073)</f>
        <v>315726.91522307298</v>
      </c>
      <c r="F149" s="16">
        <f>D149-C149</f>
        <v>6923.8246346869855</v>
      </c>
      <c r="G149" s="17">
        <f>D149/C149-1</f>
        <v>2.2391482566991749E-2</v>
      </c>
      <c r="H149" s="16">
        <f>E149-C149</f>
        <v>6510.0237567749573</v>
      </c>
      <c r="I149" s="17">
        <f>E149/C149-1</f>
        <v>2.1053260466802559E-2</v>
      </c>
      <c r="J149" s="21">
        <f>E149-D149</f>
        <v>-413.80087791202823</v>
      </c>
      <c r="K149" s="22">
        <f>E149/D149-1</f>
        <v>-1.3089135844807087E-3</v>
      </c>
      <c r="L149" s="27">
        <f>HYPERLINK("[N&amp;P Old retention.xlsx]'Coastal N Reductions'!D102", 9.64182044237963)</f>
        <v>9.6418204423796308</v>
      </c>
      <c r="M149" s="27">
        <f>HYPERLINK("[N&amp;P New retention.xlsx]'Coastal N Reductions'!D102", 9.63911742511334)</f>
        <v>9.6391174251133407</v>
      </c>
      <c r="N149" s="27">
        <f>HYPERLINK("[N&amp;P with New retention and Differentiation.xlsx]'Coastal N Reductions'!D102", 9.64109470721323)</f>
        <v>9.6410947072132291</v>
      </c>
    </row>
    <row r="150" spans="1:14" x14ac:dyDescent="0.55000000000000004">
      <c r="A150" s="31">
        <v>86</v>
      </c>
      <c r="B150" s="5" t="s">
        <v>187</v>
      </c>
      <c r="C150" s="28">
        <f>HYPERLINK("[N&amp;P Old retention.xlsx]'Coastal N Reductions'!C103", 254399.63336142)</f>
        <v>254399.63336142001</v>
      </c>
      <c r="D150" s="28">
        <f>HYPERLINK("[N&amp;P New retention.xlsx]'Coastal N Reductions'!C103", 254399.63336142)</f>
        <v>254399.63336142001</v>
      </c>
      <c r="E150" s="28">
        <f>HYPERLINK("[N&amp;P with New retention and Differentiation.xlsx]'Coastal N Reductions'!C103", 254399.63336142)</f>
        <v>254399.63336142001</v>
      </c>
      <c r="F150" s="13"/>
      <c r="G150" s="13"/>
      <c r="H150" s="13"/>
      <c r="I150" s="13"/>
      <c r="J150" s="13"/>
      <c r="K150" s="13"/>
      <c r="L150" s="29">
        <f>HYPERLINK("[N&amp;P Old retention.xlsx]'Coastal N Reductions'!D103", 0.3770205834)</f>
        <v>0.3770205834</v>
      </c>
      <c r="M150" s="29">
        <f>HYPERLINK("[N&amp;P New retention.xlsx]'Coastal N Reductions'!D103", 0.355537634163145)</f>
        <v>0.35553763416314499</v>
      </c>
      <c r="N150" s="29">
        <f>HYPERLINK("[N&amp;P with New retention and Differentiation.xlsx]'Coastal N Reductions'!D103", 0.394811222275669)</f>
        <v>0.394811222275669</v>
      </c>
    </row>
    <row r="151" spans="1:14" x14ac:dyDescent="0.55000000000000004">
      <c r="A151" s="30">
        <v>87</v>
      </c>
      <c r="B151" s="6" t="s">
        <v>188</v>
      </c>
      <c r="C151" s="26">
        <f>HYPERLINK("[N&amp;P Old retention.xlsx]'Coastal N Reductions'!C104", 1123259.87119221)</f>
        <v>1123259.8711922099</v>
      </c>
      <c r="D151" s="26">
        <f>HYPERLINK("[N&amp;P New retention.xlsx]'Coastal N Reductions'!C104", 1004947.32674628)</f>
        <v>1004947.32674628</v>
      </c>
      <c r="E151" s="26">
        <f>HYPERLINK("[N&amp;P with New retention and Differentiation.xlsx]'Coastal N Reductions'!C104", 1004562.01474628)</f>
        <v>1004562.01474628</v>
      </c>
      <c r="F151" s="21">
        <f>D151-C151</f>
        <v>-118312.54444592993</v>
      </c>
      <c r="G151" s="22">
        <f>D151/C151-1</f>
        <v>-0.10532962805869217</v>
      </c>
      <c r="H151" s="21">
        <f>E151-C151</f>
        <v>-118697.85644592985</v>
      </c>
      <c r="I151" s="22">
        <f>E151/C151-1</f>
        <v>-0.10567265820681893</v>
      </c>
      <c r="J151" s="21">
        <f>E151-D151</f>
        <v>-385.31199999991804</v>
      </c>
      <c r="K151" s="22">
        <f>E151/D151-1</f>
        <v>-3.8341512012118883E-4</v>
      </c>
      <c r="L151" s="27">
        <f>HYPERLINK("[N&amp;P Old retention.xlsx]'Coastal N Reductions'!D104", 47.9334557187557)</f>
        <v>47.933455718755702</v>
      </c>
      <c r="M151" s="27">
        <f>HYPERLINK("[N&amp;P New retention.xlsx]'Coastal N Reductions'!D104", 47.9377029296565)</f>
        <v>47.937702929656503</v>
      </c>
      <c r="N151" s="27">
        <f>HYPERLINK("[N&amp;P with New retention and Differentiation.xlsx]'Coastal N Reductions'!D104", 47.9340948726032)</f>
        <v>47.934094872603197</v>
      </c>
    </row>
    <row r="152" spans="1:14" x14ac:dyDescent="0.55000000000000004">
      <c r="A152" s="31">
        <v>89</v>
      </c>
      <c r="B152" s="5" t="s">
        <v>189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x14ac:dyDescent="0.55000000000000004">
      <c r="A153" s="30">
        <v>90</v>
      </c>
      <c r="B153" s="6" t="s">
        <v>190</v>
      </c>
      <c r="C153" s="26">
        <f>HYPERLINK("[N&amp;P Old retention.xlsx]'Coastal N Reductions'!C106", 27765.2220736306)</f>
        <v>27765.222073630601</v>
      </c>
      <c r="D153" s="26">
        <f>HYPERLINK("[N&amp;P New retention.xlsx]'Coastal N Reductions'!C106", 27765.2220736306)</f>
        <v>27765.222073630601</v>
      </c>
      <c r="E153" s="26">
        <f>HYPERLINK("[N&amp;P with New retention and Differentiation.xlsx]'Coastal N Reductions'!C106", 27765.2220736306)</f>
        <v>27765.222073630601</v>
      </c>
      <c r="F153" s="13"/>
      <c r="G153" s="18"/>
      <c r="H153" s="13"/>
      <c r="I153" s="18"/>
      <c r="J153" s="13"/>
      <c r="K153" s="18"/>
      <c r="L153" s="27">
        <f>HYPERLINK("[N&amp;P Old retention.xlsx]'Coastal N Reductions'!D106", 0.0688358283999999)</f>
        <v>6.8835828399999896E-2</v>
      </c>
      <c r="M153" s="27">
        <f>HYPERLINK("[N&amp;P New retention.xlsx]'Coastal N Reductions'!D106", 0.164408066477602)</f>
        <v>0.16440806647760201</v>
      </c>
      <c r="N153" s="27">
        <f>HYPERLINK("[N&amp;P with New retention and Differentiation.xlsx]'Coastal N Reductions'!D106", 0.164408066477602)</f>
        <v>0.16440806647760201</v>
      </c>
    </row>
    <row r="154" spans="1:14" x14ac:dyDescent="0.55000000000000004">
      <c r="A154" s="31">
        <v>92</v>
      </c>
      <c r="B154" s="5" t="s">
        <v>191</v>
      </c>
      <c r="C154" s="28">
        <f>HYPERLINK("[N&amp;P Old retention.xlsx]'Coastal N Reductions'!C107", 187120.859004446)</f>
        <v>187120.85900444601</v>
      </c>
      <c r="D154" s="28">
        <f>HYPERLINK("[N&amp;P New retention.xlsx]'Coastal N Reductions'!C107", 119751.240053509)</f>
        <v>119751.240053509</v>
      </c>
      <c r="E154" s="28">
        <f>HYPERLINK("[N&amp;P with New retention and Differentiation.xlsx]'Coastal N Reductions'!C107", 119790.624108054)</f>
        <v>119790.62410805401</v>
      </c>
      <c r="F154" s="21">
        <f>D154-C154</f>
        <v>-67369.618950937016</v>
      </c>
      <c r="G154" s="22">
        <f>D154/C154-1</f>
        <v>-0.36003265113985128</v>
      </c>
      <c r="H154" s="21">
        <f>E154-C154</f>
        <v>-67330.234896392009</v>
      </c>
      <c r="I154" s="22">
        <f>E154/C154-1</f>
        <v>-0.35982217725278953</v>
      </c>
      <c r="J154" s="16">
        <f>E154-D154</f>
        <v>39.38405454500753</v>
      </c>
      <c r="K154" s="17">
        <f>E154/D154-1</f>
        <v>3.2888222725224736E-4</v>
      </c>
      <c r="L154" s="29">
        <f>HYPERLINK("[N&amp;P Old retention.xlsx]'Coastal N Reductions'!D107", 10.09070379858)</f>
        <v>10.09070379858</v>
      </c>
      <c r="M154" s="29">
        <f>HYPERLINK("[N&amp;P New retention.xlsx]'Coastal N Reductions'!D107", 10.0890420657422)</f>
        <v>10.0890420657422</v>
      </c>
      <c r="N154" s="29">
        <f>HYPERLINK("[N&amp;P with New retention and Differentiation.xlsx]'Coastal N Reductions'!D107", 10.0912834829313)</f>
        <v>10.091283482931299</v>
      </c>
    </row>
    <row r="155" spans="1:14" x14ac:dyDescent="0.55000000000000004">
      <c r="A155" s="30">
        <v>93</v>
      </c>
      <c r="B155" s="6" t="s">
        <v>192</v>
      </c>
      <c r="C155" s="26">
        <f>HYPERLINK("[N&amp;P Old retention.xlsx]'Coastal N Reductions'!C108", 10225558.0232131)</f>
        <v>10225558.0232131</v>
      </c>
      <c r="D155" s="26">
        <f>HYPERLINK("[N&amp;P New retention.xlsx]'Coastal N Reductions'!C108", 9376953.27656103)</f>
        <v>9376953.2765610293</v>
      </c>
      <c r="E155" s="26">
        <f>HYPERLINK("[N&amp;P with New retention and Differentiation.xlsx]'Coastal N Reductions'!C108", 9360110.75352253)</f>
        <v>9360110.7535225302</v>
      </c>
      <c r="F155" s="21">
        <f>D155-C155</f>
        <v>-848604.74665207043</v>
      </c>
      <c r="G155" s="22">
        <f>D155/C155-1</f>
        <v>-8.2988600204081608E-2</v>
      </c>
      <c r="H155" s="21">
        <f>E155-C155</f>
        <v>-865447.26969056949</v>
      </c>
      <c r="I155" s="22">
        <f>E155/C155-1</f>
        <v>-8.4635700831769967E-2</v>
      </c>
      <c r="J155" s="21">
        <f>E155-D155</f>
        <v>-16842.523038499057</v>
      </c>
      <c r="K155" s="22">
        <f>E155/D155-1</f>
        <v>-1.7961615614102699E-3</v>
      </c>
      <c r="L155" s="27">
        <f>HYPERLINK("[N&amp;P Old retention.xlsx]'Coastal N Reductions'!D108", 345.775077611584)</f>
        <v>345.77507761158398</v>
      </c>
      <c r="M155" s="27">
        <f>HYPERLINK("[N&amp;P New retention.xlsx]'Coastal N Reductions'!D108", 345.759536836013)</f>
        <v>345.75953683601301</v>
      </c>
      <c r="N155" s="27">
        <f>HYPERLINK("[N&amp;P with New retention and Differentiation.xlsx]'Coastal N Reductions'!D108", 345.7821441783)</f>
        <v>345.78214417829997</v>
      </c>
    </row>
    <row r="156" spans="1:14" x14ac:dyDescent="0.55000000000000004">
      <c r="A156" s="31">
        <v>95</v>
      </c>
      <c r="B156" s="5" t="s">
        <v>193</v>
      </c>
      <c r="C156" s="28">
        <f>HYPERLINK("[N&amp;P Old retention.xlsx]'Coastal N Reductions'!C109", 598132.969109155)</f>
        <v>598132.969109155</v>
      </c>
      <c r="D156" s="28">
        <f>HYPERLINK("[N&amp;P New retention.xlsx]'Coastal N Reductions'!C109", 516226.191304401)</f>
        <v>516226.19130440103</v>
      </c>
      <c r="E156" s="28">
        <f>HYPERLINK("[N&amp;P with New retention and Differentiation.xlsx]'Coastal N Reductions'!C109", 516580.856304401)</f>
        <v>516580.85630440101</v>
      </c>
      <c r="F156" s="21">
        <f>D156-C156</f>
        <v>-81906.777804753976</v>
      </c>
      <c r="G156" s="22">
        <f>D156/C156-1</f>
        <v>-0.13693740695608869</v>
      </c>
      <c r="H156" s="21">
        <f>E156-C156</f>
        <v>-81552.112804753997</v>
      </c>
      <c r="I156" s="22">
        <f>E156/C156-1</f>
        <v>-0.13634445351878155</v>
      </c>
      <c r="J156" s="16">
        <f>E156-D156</f>
        <v>354.66499999997905</v>
      </c>
      <c r="K156" s="17">
        <f>E156/D156-1</f>
        <v>6.8703410631654194E-4</v>
      </c>
      <c r="L156" s="29">
        <f>HYPERLINK("[N&amp;P Old retention.xlsx]'Coastal N Reductions'!D109", 18.1905152653892)</f>
        <v>18.190515265389202</v>
      </c>
      <c r="M156" s="29">
        <f>HYPERLINK("[N&amp;P New retention.xlsx]'Coastal N Reductions'!D109", 18.1810470766197)</f>
        <v>18.181047076619699</v>
      </c>
      <c r="N156" s="29">
        <f>HYPERLINK("[N&amp;P with New retention and Differentiation.xlsx]'Coastal N Reductions'!D109", 18.1903034173825)</f>
        <v>18.190303417382498</v>
      </c>
    </row>
    <row r="157" spans="1:14" x14ac:dyDescent="0.55000000000000004">
      <c r="A157" s="30">
        <v>96</v>
      </c>
      <c r="B157" s="6" t="s">
        <v>194</v>
      </c>
      <c r="C157" s="26">
        <f>HYPERLINK("[N&amp;P Old retention.xlsx]'Coastal N Reductions'!C110", 2842206.3156302)</f>
        <v>2842206.3156301999</v>
      </c>
      <c r="D157" s="26">
        <f>HYPERLINK("[N&amp;P New retention.xlsx]'Coastal N Reductions'!C110", 3616935.77428427)</f>
        <v>3616935.7742842701</v>
      </c>
      <c r="E157" s="26">
        <f>HYPERLINK("[N&amp;P with New retention and Differentiation.xlsx]'Coastal N Reductions'!C110", 3616488.51405233)</f>
        <v>3616488.5140523301</v>
      </c>
      <c r="F157" s="16">
        <f>D157-C157</f>
        <v>774729.45865407027</v>
      </c>
      <c r="G157" s="17">
        <f>D157/C157-1</f>
        <v>0.2725803029827869</v>
      </c>
      <c r="H157" s="16">
        <f>E157-C157</f>
        <v>774282.1984221302</v>
      </c>
      <c r="I157" s="17">
        <f>E157/C157-1</f>
        <v>0.27242293923706562</v>
      </c>
      <c r="J157" s="21">
        <f>E157-D157</f>
        <v>-447.26023194007576</v>
      </c>
      <c r="K157" s="22">
        <f>E157/D157-1</f>
        <v>-1.2365722253626643E-4</v>
      </c>
      <c r="L157" s="27">
        <f>HYPERLINK("[N&amp;P Old retention.xlsx]'Coastal N Reductions'!D110", 63.9159919492202)</f>
        <v>63.915991949220199</v>
      </c>
      <c r="M157" s="27">
        <f>HYPERLINK("[N&amp;P New retention.xlsx]'Coastal N Reductions'!D110", 63.9407885816411)</f>
        <v>63.940788581641101</v>
      </c>
      <c r="N157" s="27">
        <f>HYPERLINK("[N&amp;P with New retention and Differentiation.xlsx]'Coastal N Reductions'!D110", 63.9348093862878)</f>
        <v>63.934809386287803</v>
      </c>
    </row>
    <row r="158" spans="1:14" x14ac:dyDescent="0.55000000000000004">
      <c r="A158" s="31">
        <v>101</v>
      </c>
      <c r="B158" s="5" t="s">
        <v>195</v>
      </c>
      <c r="C158" s="28">
        <f>HYPERLINK("[N&amp;P Old retention.xlsx]'Coastal N Reductions'!C3", 341231.060505126)</f>
        <v>341231.06050512602</v>
      </c>
      <c r="D158" s="28">
        <f>HYPERLINK("[N&amp;P New retention.xlsx]'Coastal N Reductions'!C3", 381188.080013648)</f>
        <v>381188.08001364802</v>
      </c>
      <c r="E158" s="28">
        <f>HYPERLINK("[N&amp;P with New retention and Differentiation.xlsx]'Coastal N Reductions'!C3", 407433.521835387)</f>
        <v>407433.52183538699</v>
      </c>
      <c r="F158" s="16">
        <f>D158-C158</f>
        <v>39957.019508522004</v>
      </c>
      <c r="G158" s="17">
        <f>D158/C158-1</f>
        <v>0.11709666596403445</v>
      </c>
      <c r="H158" s="16">
        <f>E158-C158</f>
        <v>66202.461330260965</v>
      </c>
      <c r="I158" s="17">
        <f>E158/C158-1</f>
        <v>0.19401065434155118</v>
      </c>
      <c r="J158" s="16">
        <f>E158-D158</f>
        <v>26245.441821738961</v>
      </c>
      <c r="K158" s="17">
        <f>E158/D158-1</f>
        <v>6.8851685553229514E-2</v>
      </c>
      <c r="L158" s="29">
        <f>HYPERLINK("[N&amp;P Old retention.xlsx]'Coastal N Reductions'!D3", 13.6706023467833)</f>
        <v>13.6706023467833</v>
      </c>
      <c r="M158" s="29">
        <f>HYPERLINK("[N&amp;P New retention.xlsx]'Coastal N Reductions'!D3", 13.2099017367609)</f>
        <v>13.2099017367609</v>
      </c>
      <c r="N158" s="29">
        <f>HYPERLINK("[N&amp;P with New retention and Differentiation.xlsx]'Coastal N Reductions'!D3", 13.6793398892073)</f>
        <v>13.6793398892073</v>
      </c>
    </row>
    <row r="159" spans="1:14" x14ac:dyDescent="0.55000000000000004">
      <c r="A159" s="30">
        <v>102</v>
      </c>
      <c r="B159" s="6" t="s">
        <v>196</v>
      </c>
      <c r="C159" s="26">
        <f>HYPERLINK("[N&amp;P Old retention.xlsx]'Coastal N Reductions'!C4", 1350587.39913345)</f>
        <v>1350587.3991334499</v>
      </c>
      <c r="D159" s="26">
        <f>HYPERLINK("[N&amp;P New retention.xlsx]'Coastal N Reductions'!C4", 4770039.24477798)</f>
        <v>4770039.2447779803</v>
      </c>
      <c r="E159" s="26">
        <f>HYPERLINK("[N&amp;P with New retention and Differentiation.xlsx]'Coastal N Reductions'!C4", 4782763.68907558)</f>
        <v>4782763.6890755799</v>
      </c>
      <c r="F159" s="16">
        <f>D159-C159</f>
        <v>3419451.8456445304</v>
      </c>
      <c r="G159" s="17">
        <f>D159/C159-1</f>
        <v>2.5318256692151015</v>
      </c>
      <c r="H159" s="16">
        <f>E159-C159</f>
        <v>3432176.28994213</v>
      </c>
      <c r="I159" s="17">
        <f>E159/C159-1</f>
        <v>2.5412470841533454</v>
      </c>
      <c r="J159" s="16">
        <f>E159-D159</f>
        <v>12724.444297599606</v>
      </c>
      <c r="K159" s="17">
        <f>E159/D159-1</f>
        <v>2.667576437977992E-3</v>
      </c>
      <c r="L159" s="27">
        <f>HYPERLINK("[N&amp;P Old retention.xlsx]'Coastal N Reductions'!D4", 34.3135843862265)</f>
        <v>34.313584386226502</v>
      </c>
      <c r="M159" s="27">
        <f>HYPERLINK("[N&amp;P New retention.xlsx]'Coastal N Reductions'!D4", 34.3131442464214)</f>
        <v>34.313144246421402</v>
      </c>
      <c r="N159" s="27">
        <f>HYPERLINK("[N&amp;P with New retention and Differentiation.xlsx]'Coastal N Reductions'!D4", 34.2965643889954)</f>
        <v>34.296564388995399</v>
      </c>
    </row>
    <row r="160" spans="1:14" x14ac:dyDescent="0.55000000000000004">
      <c r="A160" s="31">
        <v>103</v>
      </c>
      <c r="B160" s="5" t="s">
        <v>197</v>
      </c>
      <c r="C160" s="28">
        <f>HYPERLINK("[N&amp;P Old retention.xlsx]'Coastal N Reductions'!C5", 2024935.04224288)</f>
        <v>2024935.04224288</v>
      </c>
      <c r="D160" s="28">
        <f>HYPERLINK("[N&amp;P New retention.xlsx]'Coastal N Reductions'!C5", 1965831.6859001)</f>
        <v>1965831.6859001</v>
      </c>
      <c r="E160" s="28">
        <f>HYPERLINK("[N&amp;P with New retention and Differentiation.xlsx]'Coastal N Reductions'!C5", 1952826.5715898)</f>
        <v>1952826.5715898001</v>
      </c>
      <c r="F160" s="21">
        <f>D160-C160</f>
        <v>-59103.356342779938</v>
      </c>
      <c r="G160" s="22">
        <f>D160/C160-1</f>
        <v>-2.9187778921201946E-2</v>
      </c>
      <c r="H160" s="21">
        <f>E160-C160</f>
        <v>-72108.470653079916</v>
      </c>
      <c r="I160" s="22">
        <f>E160/C160-1</f>
        <v>-3.561026361280728E-2</v>
      </c>
      <c r="J160" s="21">
        <f>E160-D160</f>
        <v>-13005.114310299978</v>
      </c>
      <c r="K160" s="22">
        <f>E160/D160-1</f>
        <v>-6.6155787413434419E-3</v>
      </c>
      <c r="L160" s="29">
        <f>HYPERLINK("[N&amp;P Old retention.xlsx]'Coastal N Reductions'!D5", 44.350349761139)</f>
        <v>44.350349761139</v>
      </c>
      <c r="M160" s="29">
        <f>HYPERLINK("[N&amp;P New retention.xlsx]'Coastal N Reductions'!D5", 44.4798678899536)</f>
        <v>44.479867889953603</v>
      </c>
      <c r="N160" s="29">
        <f>HYPERLINK("[N&amp;P with New retention and Differentiation.xlsx]'Coastal N Reductions'!D5", 44.3501517940449)</f>
        <v>44.350151794044898</v>
      </c>
    </row>
    <row r="161" spans="1:14" x14ac:dyDescent="0.55000000000000004">
      <c r="A161" s="30">
        <v>104</v>
      </c>
      <c r="B161" s="6" t="s">
        <v>198</v>
      </c>
      <c r="C161" s="26">
        <f>HYPERLINK("[N&amp;P Old retention.xlsx]'Coastal N Reductions'!C6", 1953133.71611599)</f>
        <v>1953133.71611599</v>
      </c>
      <c r="D161" s="26">
        <f>HYPERLINK("[N&amp;P New retention.xlsx]'Coastal N Reductions'!C6", 2673952.79396481)</f>
        <v>2673952.7939648102</v>
      </c>
      <c r="E161" s="26">
        <f>HYPERLINK("[N&amp;P with New retention and Differentiation.xlsx]'Coastal N Reductions'!C6", 2668236.73151363)</f>
        <v>2668236.7315136301</v>
      </c>
      <c r="F161" s="16">
        <f>D161-C161</f>
        <v>720819.07784882025</v>
      </c>
      <c r="G161" s="17">
        <f>D161/C161-1</f>
        <v>0.36905772088264599</v>
      </c>
      <c r="H161" s="16">
        <f>E161-C161</f>
        <v>715103.01539764018</v>
      </c>
      <c r="I161" s="17">
        <f>E161/C161-1</f>
        <v>0.36613110996808618</v>
      </c>
      <c r="J161" s="21">
        <f>E161-D161</f>
        <v>-5716.0624511800706</v>
      </c>
      <c r="K161" s="22">
        <f>E161/D161-1</f>
        <v>-2.1376826337702326E-3</v>
      </c>
      <c r="L161" s="27">
        <f>HYPERLINK("[N&amp;P Old retention.xlsx]'Coastal N Reductions'!D6", 23.2240611547344)</f>
        <v>23.2240611547344</v>
      </c>
      <c r="M161" s="27">
        <f>HYPERLINK("[N&amp;P New retention.xlsx]'Coastal N Reductions'!D6", 23.2350491787922)</f>
        <v>23.235049178792199</v>
      </c>
      <c r="N161" s="27">
        <f>HYPERLINK("[N&amp;P with New retention and Differentiation.xlsx]'Coastal N Reductions'!D6", 23.2081805271537)</f>
        <v>23.208180527153701</v>
      </c>
    </row>
    <row r="162" spans="1:14" x14ac:dyDescent="0.55000000000000004">
      <c r="A162" s="31">
        <v>105</v>
      </c>
      <c r="B162" s="5" t="s">
        <v>199</v>
      </c>
      <c r="C162" s="28">
        <f>HYPERLINK("[N&amp;P Old retention.xlsx]'Coastal N Reductions'!C7", 4987727.64273728)</f>
        <v>4987727.6427372796</v>
      </c>
      <c r="D162" s="28">
        <f>HYPERLINK("[N&amp;P New retention.xlsx]'Coastal N Reductions'!C7", 5457453.19612459)</f>
        <v>5457453.19612459</v>
      </c>
      <c r="E162" s="28">
        <f>HYPERLINK("[N&amp;P with New retention and Differentiation.xlsx]'Coastal N Reductions'!C7", 5464354.27994936)</f>
        <v>5464354.2799493596</v>
      </c>
      <c r="F162" s="16">
        <f>D162-C162</f>
        <v>469725.55338731036</v>
      </c>
      <c r="G162" s="17">
        <f>D162/C162-1</f>
        <v>9.4176263628044321E-2</v>
      </c>
      <c r="H162" s="16">
        <f>E162-C162</f>
        <v>476626.63721207995</v>
      </c>
      <c r="I162" s="17">
        <f>E162/C162-1</f>
        <v>9.5559876431124735E-2</v>
      </c>
      <c r="J162" s="16">
        <f>E162-D162</f>
        <v>6901.0838247695938</v>
      </c>
      <c r="K162" s="17">
        <f>E162/D162-1</f>
        <v>1.2645246009017619E-3</v>
      </c>
      <c r="L162" s="29">
        <f>HYPERLINK("[N&amp;P Old retention.xlsx]'Coastal N Reductions'!D7", 37.0898466597618)</f>
        <v>37.089846659761797</v>
      </c>
      <c r="M162" s="29">
        <f>HYPERLINK("[N&amp;P New retention.xlsx]'Coastal N Reductions'!D7", 37.0872937766746)</f>
        <v>37.087293776674599</v>
      </c>
      <c r="N162" s="29">
        <f>HYPERLINK("[N&amp;P with New retention and Differentiation.xlsx]'Coastal N Reductions'!D7", 37.0912257292846)</f>
        <v>37.091225729284602</v>
      </c>
    </row>
    <row r="163" spans="1:14" x14ac:dyDescent="0.55000000000000004">
      <c r="A163" s="30">
        <v>106</v>
      </c>
      <c r="B163" s="6" t="s">
        <v>200</v>
      </c>
      <c r="C163" s="26">
        <f>HYPERLINK("[N&amp;P Old retention.xlsx]'Coastal N Reductions'!C8", 14945330.4599204)</f>
        <v>14945330.459920401</v>
      </c>
      <c r="D163" s="26">
        <f>HYPERLINK("[N&amp;P New retention.xlsx]'Coastal N Reductions'!C8", 15136223.2508754)</f>
        <v>15136223.2508754</v>
      </c>
      <c r="E163" s="26">
        <f>HYPERLINK("[N&amp;P with New retention and Differentiation.xlsx]'Coastal N Reductions'!C8", 15155277.3590864)</f>
        <v>15155277.3590864</v>
      </c>
      <c r="F163" s="16">
        <f>D163-C163</f>
        <v>190892.79095499963</v>
      </c>
      <c r="G163" s="17">
        <f>D163/C163-1</f>
        <v>1.2772738044630527E-2</v>
      </c>
      <c r="H163" s="16">
        <f>E163-C163</f>
        <v>209946.89916599914</v>
      </c>
      <c r="I163" s="17">
        <f>E163/C163-1</f>
        <v>1.4047658546528785E-2</v>
      </c>
      <c r="J163" s="16">
        <f>E163-D163</f>
        <v>19054.108210999519</v>
      </c>
      <c r="K163" s="17">
        <f>E163/D163-1</f>
        <v>1.258841647297837E-3</v>
      </c>
      <c r="L163" s="27">
        <f>HYPERLINK("[N&amp;P Old retention.xlsx]'Coastal N Reductions'!D8", 89.3744975706381)</f>
        <v>89.374497570638098</v>
      </c>
      <c r="M163" s="27">
        <f>HYPERLINK("[N&amp;P New retention.xlsx]'Coastal N Reductions'!D8", 89.3745191687303)</f>
        <v>89.374519168730302</v>
      </c>
      <c r="N163" s="27">
        <f>HYPERLINK("[N&amp;P with New retention and Differentiation.xlsx]'Coastal N Reductions'!D8", 89.3565174843979)</f>
        <v>89.356517484397898</v>
      </c>
    </row>
    <row r="164" spans="1:14" x14ac:dyDescent="0.55000000000000004">
      <c r="A164" s="31">
        <v>107</v>
      </c>
      <c r="B164" s="5" t="s">
        <v>201</v>
      </c>
      <c r="C164" s="28">
        <f>HYPERLINK("[N&amp;P Old retention.xlsx]'Coastal N Reductions'!C9", 1111486.58682599)</f>
        <v>1111486.5868259899</v>
      </c>
      <c r="D164" s="28">
        <f>HYPERLINK("[N&amp;P New retention.xlsx]'Coastal N Reductions'!C9", 1042268.88332492)</f>
        <v>1042268.88332492</v>
      </c>
      <c r="E164" s="28">
        <f>HYPERLINK("[N&amp;P with New retention and Differentiation.xlsx]'Coastal N Reductions'!C9", 1050105.26990718)</f>
        <v>1050105.26990718</v>
      </c>
      <c r="F164" s="21">
        <f>D164-C164</f>
        <v>-69217.703501069918</v>
      </c>
      <c r="G164" s="22">
        <f>D164/C164-1</f>
        <v>-6.2274888713440113E-2</v>
      </c>
      <c r="H164" s="21">
        <f>E164-C164</f>
        <v>-61381.316918809898</v>
      </c>
      <c r="I164" s="22">
        <f>E164/C164-1</f>
        <v>-5.5224523306298345E-2</v>
      </c>
      <c r="J164" s="16">
        <f>E164-D164</f>
        <v>7836.3865822600201</v>
      </c>
      <c r="K164" s="17">
        <f>E164/D164-1</f>
        <v>7.5185844148597525E-3</v>
      </c>
      <c r="L164" s="29">
        <f>HYPERLINK("[N&amp;P Old retention.xlsx]'Coastal N Reductions'!D9", 88.8249042890361)</f>
        <v>88.824904289036098</v>
      </c>
      <c r="M164" s="29">
        <f>HYPERLINK("[N&amp;P New retention.xlsx]'Coastal N Reductions'!D9", 88.8447930214316)</f>
        <v>88.844793021431599</v>
      </c>
      <c r="N164" s="29">
        <f>HYPERLINK("[N&amp;P with New retention and Differentiation.xlsx]'Coastal N Reductions'!D9", 88.8312195365251)</f>
        <v>88.831219536525097</v>
      </c>
    </row>
    <row r="165" spans="1:14" x14ac:dyDescent="0.55000000000000004">
      <c r="A165" s="30">
        <v>108</v>
      </c>
      <c r="B165" s="6" t="s">
        <v>202</v>
      </c>
      <c r="C165" s="26">
        <f>HYPERLINK("[N&amp;P Old retention.xlsx]'Coastal N Reductions'!C10", 2281722.90506244)</f>
        <v>2281722.9050624399</v>
      </c>
      <c r="D165" s="26">
        <f>HYPERLINK("[N&amp;P New retention.xlsx]'Coastal N Reductions'!C10", 3022925.98034309)</f>
        <v>3022925.9803430899</v>
      </c>
      <c r="E165" s="26">
        <f>HYPERLINK("[N&amp;P with New retention and Differentiation.xlsx]'Coastal N Reductions'!C10", 3029842.05486174)</f>
        <v>3029842.0548617402</v>
      </c>
      <c r="F165" s="16">
        <f>D165-C165</f>
        <v>741203.07528065005</v>
      </c>
      <c r="G165" s="17">
        <f>D165/C165-1</f>
        <v>0.32484359675583252</v>
      </c>
      <c r="H165" s="16">
        <f>E165-C165</f>
        <v>748119.14979930036</v>
      </c>
      <c r="I165" s="17">
        <f>E165/C165-1</f>
        <v>0.32787467230988243</v>
      </c>
      <c r="J165" s="16">
        <f>E165-D165</f>
        <v>6916.0745186503045</v>
      </c>
      <c r="K165" s="17">
        <f>E165/D165-1</f>
        <v>2.2878742528340545E-3</v>
      </c>
      <c r="L165" s="27">
        <f>HYPERLINK("[N&amp;P Old retention.xlsx]'Coastal N Reductions'!D10", 34.8483862633368)</f>
        <v>34.848386263336799</v>
      </c>
      <c r="M165" s="27">
        <f>HYPERLINK("[N&amp;P New retention.xlsx]'Coastal N Reductions'!D10", 34.8321542441535)</f>
        <v>34.8321542441535</v>
      </c>
      <c r="N165" s="27">
        <f>HYPERLINK("[N&amp;P with New retention and Differentiation.xlsx]'Coastal N Reductions'!D10", 34.8327349075638)</f>
        <v>34.832734907563797</v>
      </c>
    </row>
    <row r="166" spans="1:14" x14ac:dyDescent="0.55000000000000004">
      <c r="A166" s="31">
        <v>109</v>
      </c>
      <c r="B166" s="5" t="s">
        <v>203</v>
      </c>
      <c r="C166" s="28">
        <f>HYPERLINK("[N&amp;P Old retention.xlsx]'Coastal N Reductions'!C11", 5000589.41505961)</f>
        <v>5000589.4150596103</v>
      </c>
      <c r="D166" s="28">
        <f>HYPERLINK("[N&amp;P New retention.xlsx]'Coastal N Reductions'!C11", 6909278.10376898)</f>
        <v>6909278.1037689801</v>
      </c>
      <c r="E166" s="28">
        <f>HYPERLINK("[N&amp;P with New retention and Differentiation.xlsx]'Coastal N Reductions'!C11", 6912733.30959059)</f>
        <v>6912733.3095905902</v>
      </c>
      <c r="F166" s="16">
        <f>D166-C166</f>
        <v>1908688.6887093699</v>
      </c>
      <c r="G166" s="17">
        <f>D166/C166-1</f>
        <v>0.38169274265174136</v>
      </c>
      <c r="H166" s="16">
        <f>E166-C166</f>
        <v>1912143.8945309799</v>
      </c>
      <c r="I166" s="17">
        <f>E166/C166-1</f>
        <v>0.38238370236365138</v>
      </c>
      <c r="J166" s="16">
        <f>E166-D166</f>
        <v>3455.2058216100559</v>
      </c>
      <c r="K166" s="17">
        <f>E166/D166-1</f>
        <v>5.0008203023765851E-4</v>
      </c>
      <c r="L166" s="29">
        <f>HYPERLINK("[N&amp;P Old retention.xlsx]'Coastal N Reductions'!D11", 77.1342989488186)</f>
        <v>77.134298948818596</v>
      </c>
      <c r="M166" s="29">
        <f>HYPERLINK("[N&amp;P New retention.xlsx]'Coastal N Reductions'!D11", 77.138114276044)</f>
        <v>77.138114276044007</v>
      </c>
      <c r="N166" s="29">
        <f>HYPERLINK("[N&amp;P with New retention and Differentiation.xlsx]'Coastal N Reductions'!D11", 77.1347914259307)</f>
        <v>77.1347914259307</v>
      </c>
    </row>
    <row r="167" spans="1:14" x14ac:dyDescent="0.55000000000000004">
      <c r="A167" s="30">
        <v>110</v>
      </c>
      <c r="B167" s="6" t="s">
        <v>204</v>
      </c>
      <c r="C167" s="26">
        <f>HYPERLINK("[N&amp;P Old retention.xlsx]'Coastal N Reductions'!C12", 1597515.66970762)</f>
        <v>1597515.6697076201</v>
      </c>
      <c r="D167" s="26">
        <f>HYPERLINK("[N&amp;P New retention.xlsx]'Coastal N Reductions'!C12", 1956713.69484808)</f>
        <v>1956713.6948480799</v>
      </c>
      <c r="E167" s="26">
        <f>HYPERLINK("[N&amp;P with New retention and Differentiation.xlsx]'Coastal N Reductions'!C12", 1958878.35303815)</f>
        <v>1958878.3530381499</v>
      </c>
      <c r="F167" s="16">
        <f>D167-C167</f>
        <v>359198.02514045988</v>
      </c>
      <c r="G167" s="17">
        <f>D167/C167-1</f>
        <v>0.22484788847561088</v>
      </c>
      <c r="H167" s="16">
        <f>E167-C167</f>
        <v>361362.68333052984</v>
      </c>
      <c r="I167" s="17">
        <f>E167/C167-1</f>
        <v>0.22620290378539254</v>
      </c>
      <c r="J167" s="16">
        <f>E167-D167</f>
        <v>2164.658190069953</v>
      </c>
      <c r="K167" s="17">
        <f>E167/D167-1</f>
        <v>1.106272315551049E-3</v>
      </c>
      <c r="L167" s="27">
        <f>HYPERLINK("[N&amp;P Old retention.xlsx]'Coastal N Reductions'!D12", 21.8519570957985)</f>
        <v>21.8519570957985</v>
      </c>
      <c r="M167" s="27">
        <f>HYPERLINK("[N&amp;P New retention.xlsx]'Coastal N Reductions'!D12", 21.8499439263862)</f>
        <v>21.849943926386199</v>
      </c>
      <c r="N167" s="27">
        <f>HYPERLINK("[N&amp;P with New retention and Differentiation.xlsx]'Coastal N Reductions'!D12", 21.8559175236898)</f>
        <v>21.855917523689801</v>
      </c>
    </row>
    <row r="168" spans="1:14" x14ac:dyDescent="0.55000000000000004">
      <c r="A168" s="31">
        <v>111</v>
      </c>
      <c r="B168" s="5" t="s">
        <v>205</v>
      </c>
      <c r="C168" s="28">
        <f>HYPERLINK("[N&amp;P Old retention.xlsx]'Coastal N Reductions'!C13", 5760010.83989878)</f>
        <v>5760010.83989878</v>
      </c>
      <c r="D168" s="28">
        <f>HYPERLINK("[N&amp;P New retention.xlsx]'Coastal N Reductions'!C13", 5759485.66194949)</f>
        <v>5759485.6619494902</v>
      </c>
      <c r="E168" s="28">
        <f>HYPERLINK("[N&amp;P with New retention and Differentiation.xlsx]'Coastal N Reductions'!C13", 5759881.86897534)</f>
        <v>5759881.8689753404</v>
      </c>
      <c r="F168" s="21">
        <f>D168-C168</f>
        <v>-525.17794928979129</v>
      </c>
      <c r="G168" s="22">
        <f>D168/C168-1</f>
        <v>-9.1176555719663099E-5</v>
      </c>
      <c r="H168" s="21">
        <f>E168-C168</f>
        <v>-128.97092343959957</v>
      </c>
      <c r="I168" s="22">
        <f>E168/C168-1</f>
        <v>-2.2390743181666117E-5</v>
      </c>
      <c r="J168" s="16">
        <f>E168-D168</f>
        <v>396.20702585019171</v>
      </c>
      <c r="K168" s="17">
        <f>E168/D168-1</f>
        <v>6.8792084763291683E-5</v>
      </c>
      <c r="L168" s="29">
        <f>HYPERLINK("[N&amp;P Old retention.xlsx]'Coastal N Reductions'!D13", 16.5785728425)</f>
        <v>16.578572842500002</v>
      </c>
      <c r="M168" s="29">
        <f>HYPERLINK("[N&amp;P New retention.xlsx]'Coastal N Reductions'!D13", 22.2471276682591)</f>
        <v>22.2471276682591</v>
      </c>
      <c r="N168" s="29">
        <f>HYPERLINK("[N&amp;P with New retention and Differentiation.xlsx]'Coastal N Reductions'!D13", 21.0366882706287)</f>
        <v>21.036688270628702</v>
      </c>
    </row>
    <row r="169" spans="1:14" x14ac:dyDescent="0.55000000000000004">
      <c r="A169" s="30">
        <v>113</v>
      </c>
      <c r="B169" s="6" t="s">
        <v>206</v>
      </c>
      <c r="C169" s="26">
        <f>HYPERLINK("[N&amp;P Old retention.xlsx]'Coastal N Reductions'!C14", 39355.7132957367)</f>
        <v>39355.713295736699</v>
      </c>
      <c r="D169" s="26">
        <f>HYPERLINK("[N&amp;P New retention.xlsx]'Coastal N Reductions'!C14", 41382.7832153746)</f>
        <v>41382.783215374599</v>
      </c>
      <c r="E169" s="26">
        <f>HYPERLINK("[N&amp;P with New retention and Differentiation.xlsx]'Coastal N Reductions'!C14", 42053.8912406902)</f>
        <v>42053.891240690202</v>
      </c>
      <c r="F169" s="16">
        <f>D169-C169</f>
        <v>2027.0699196378991</v>
      </c>
      <c r="G169" s="17">
        <f>D169/C169-1</f>
        <v>5.1506369720847767E-2</v>
      </c>
      <c r="H169" s="16">
        <f>E169-C169</f>
        <v>2698.1779449535024</v>
      </c>
      <c r="I169" s="17">
        <f>E169/C169-1</f>
        <v>6.8558735670172455E-2</v>
      </c>
      <c r="J169" s="16">
        <f>E169-D169</f>
        <v>671.1080253156033</v>
      </c>
      <c r="K169" s="17">
        <f>E169/D169-1</f>
        <v>1.6217082882580725E-2</v>
      </c>
      <c r="L169" s="27">
        <f>HYPERLINK("[N&amp;P Old retention.xlsx]'Coastal N Reductions'!D14", 2.68980788774)</f>
        <v>2.6898078877399998</v>
      </c>
      <c r="M169" s="27">
        <f>HYPERLINK("[N&amp;P New retention.xlsx]'Coastal N Reductions'!D14", 2.68603553056609)</f>
        <v>2.6860355305660901</v>
      </c>
      <c r="N169" s="27">
        <f>HYPERLINK("[N&amp;P with New retention and Differentiation.xlsx]'Coastal N Reductions'!D14", 2.70510195551821)</f>
        <v>2.7051019555182099</v>
      </c>
    </row>
    <row r="170" spans="1:14" x14ac:dyDescent="0.55000000000000004">
      <c r="A170" s="31">
        <v>114</v>
      </c>
      <c r="B170" s="5" t="s">
        <v>207</v>
      </c>
      <c r="C170" s="28">
        <f>HYPERLINK("[N&amp;P Old retention.xlsx]'Coastal N Reductions'!C15", 70279.7450196226)</f>
        <v>70279.745019622598</v>
      </c>
      <c r="D170" s="28">
        <f>HYPERLINK("[N&amp;P New retention.xlsx]'Coastal N Reductions'!C15", 70279.7450196226)</f>
        <v>70279.745019622598</v>
      </c>
      <c r="E170" s="28">
        <f>HYPERLINK("[N&amp;P with New retention and Differentiation.xlsx]'Coastal N Reductions'!C15", 70279.7450196226)</f>
        <v>70279.745019622598</v>
      </c>
      <c r="F170" s="13"/>
      <c r="G170" s="13"/>
      <c r="H170" s="13"/>
      <c r="I170" s="13"/>
      <c r="J170" s="13"/>
      <c r="K170" s="13"/>
      <c r="L170" s="29">
        <f>HYPERLINK("[N&amp;P Old retention.xlsx]'Coastal N Reductions'!D15", 0.0008782208999999)</f>
        <v>8.782208999999E-4</v>
      </c>
      <c r="M170" s="29">
        <f>HYPERLINK("[N&amp;P New retention.xlsx]'Coastal N Reductions'!D15", 0.0003182184143263)</f>
        <v>3.1821841432629999E-4</v>
      </c>
      <c r="N170" s="29">
        <f>HYPERLINK("[N&amp;P with New retention and Differentiation.xlsx]'Coastal N Reductions'!D15", 0.0003182184143263)</f>
        <v>3.1821841432629999E-4</v>
      </c>
    </row>
    <row r="171" spans="1:14" x14ac:dyDescent="0.55000000000000004">
      <c r="A171" s="30">
        <v>119</v>
      </c>
      <c r="B171" s="6" t="s">
        <v>208</v>
      </c>
      <c r="C171" s="26">
        <f>HYPERLINK("[N&amp;P Old retention.xlsx]'Coastal N Reductions'!C16", 4982153.39478776)</f>
        <v>4982153.3947877605</v>
      </c>
      <c r="D171" s="26">
        <f>HYPERLINK("[N&amp;P New retention.xlsx]'Coastal N Reductions'!C16", 4979962.50320458)</f>
        <v>4979962.5032045804</v>
      </c>
      <c r="E171" s="26">
        <f>HYPERLINK("[N&amp;P with New retention and Differentiation.xlsx]'Coastal N Reductions'!C16", 4976939.57934332)</f>
        <v>4976939.5793433199</v>
      </c>
      <c r="F171" s="21">
        <f>D171-C171</f>
        <v>-2190.891583180055</v>
      </c>
      <c r="G171" s="22">
        <f>D171/C171-1</f>
        <v>-4.3974791813361502E-4</v>
      </c>
      <c r="H171" s="21">
        <f>E171-C171</f>
        <v>-5213.8154444405809</v>
      </c>
      <c r="I171" s="22">
        <f>E171/C171-1</f>
        <v>-1.0464983775680947E-3</v>
      </c>
      <c r="J171" s="21">
        <f>E171-D171</f>
        <v>-3022.9238612605259</v>
      </c>
      <c r="K171" s="22">
        <f>E171/D171-1</f>
        <v>-6.0701739406976429E-4</v>
      </c>
      <c r="L171" s="27">
        <f>HYPERLINK("[N&amp;P Old retention.xlsx]'Coastal N Reductions'!D16", 13.5226359161)</f>
        <v>13.5226359161</v>
      </c>
      <c r="M171" s="27">
        <f>HYPERLINK("[N&amp;P New retention.xlsx]'Coastal N Reductions'!D16", 15.0344157607686)</f>
        <v>15.034415760768599</v>
      </c>
      <c r="N171" s="27">
        <f>HYPERLINK("[N&amp;P with New retention and Differentiation.xlsx]'Coastal N Reductions'!D16", 14.2727608547697)</f>
        <v>14.2727608547697</v>
      </c>
    </row>
    <row r="172" spans="1:14" x14ac:dyDescent="0.55000000000000004">
      <c r="A172" s="31">
        <v>120</v>
      </c>
      <c r="B172" s="5" t="s">
        <v>209</v>
      </c>
      <c r="C172" s="28">
        <f>HYPERLINK("[N&amp;P Old retention.xlsx]'Coastal N Reductions'!C17", 72437913.9030091)</f>
        <v>72437913.903009102</v>
      </c>
      <c r="D172" s="28">
        <f>HYPERLINK("[N&amp;P New retention.xlsx]'Coastal N Reductions'!C17", 64934746.3915789)</f>
        <v>64934746.391578898</v>
      </c>
      <c r="E172" s="28">
        <f>HYPERLINK("[N&amp;P with New retention and Differentiation.xlsx]'Coastal N Reductions'!C17", 65517025.6263292)</f>
        <v>65517025.626329198</v>
      </c>
      <c r="F172" s="21">
        <f>D172-C172</f>
        <v>-7503167.5114302039</v>
      </c>
      <c r="G172" s="22">
        <f>D172/C172-1</f>
        <v>-0.1035806680114586</v>
      </c>
      <c r="H172" s="21">
        <f>E172-C172</f>
        <v>-6920888.2766799033</v>
      </c>
      <c r="I172" s="22">
        <f>E172/C172-1</f>
        <v>-9.5542346594169492E-2</v>
      </c>
      <c r="J172" s="16">
        <f>E172-D172</f>
        <v>582279.23475030065</v>
      </c>
      <c r="K172" s="17">
        <f>E172/D172-1</f>
        <v>8.9671442041054927E-3</v>
      </c>
      <c r="L172" s="29">
        <f>HYPERLINK("[N&amp;P Old retention.xlsx]'Coastal N Reductions'!D17", 2008.74360514341)</f>
        <v>2008.7436051434099</v>
      </c>
      <c r="M172" s="29">
        <f>HYPERLINK("[N&amp;P New retention.xlsx]'Coastal N Reductions'!D17", 2008.75755761594)</f>
        <v>2008.75755761594</v>
      </c>
      <c r="N172" s="29">
        <f>HYPERLINK("[N&amp;P with New retention and Differentiation.xlsx]'Coastal N Reductions'!D17", 2008.7270179221)</f>
        <v>2008.7270179221</v>
      </c>
    </row>
    <row r="173" spans="1:14" x14ac:dyDescent="0.55000000000000004">
      <c r="A173" s="30">
        <v>121</v>
      </c>
      <c r="B173" s="6" t="s">
        <v>210</v>
      </c>
      <c r="C173" s="26">
        <f>HYPERLINK("[N&amp;P Old retention.xlsx]'Coastal N Reductions'!C18", 13875281.9896958)</f>
        <v>13875281.9896958</v>
      </c>
      <c r="D173" s="26">
        <f>HYPERLINK("[N&amp;P New retention.xlsx]'Coastal N Reductions'!C18", 9877747.40829114)</f>
        <v>9877747.4082911406</v>
      </c>
      <c r="E173" s="26">
        <f>HYPERLINK("[N&amp;P with New retention and Differentiation.xlsx]'Coastal N Reductions'!C18", 10226962.8460282)</f>
        <v>10226962.846028199</v>
      </c>
      <c r="F173" s="21">
        <f>D173-C173</f>
        <v>-3997534.5814046599</v>
      </c>
      <c r="G173" s="22">
        <f>D173/C173-1</f>
        <v>-0.28810474514127704</v>
      </c>
      <c r="H173" s="21">
        <f>E173-C173</f>
        <v>-3648319.143667601</v>
      </c>
      <c r="I173" s="22">
        <f>E173/C173-1</f>
        <v>-0.26293657645134361</v>
      </c>
      <c r="J173" s="16">
        <f>E173-D173</f>
        <v>349215.43773705885</v>
      </c>
      <c r="K173" s="17">
        <f>E173/D173-1</f>
        <v>3.5353752561432694E-2</v>
      </c>
      <c r="L173" s="27">
        <f>HYPERLINK("[N&amp;P Old retention.xlsx]'Coastal N Reductions'!D18", 637.422577567726)</f>
        <v>637.42257756772597</v>
      </c>
      <c r="M173" s="27">
        <f>HYPERLINK("[N&amp;P New retention.xlsx]'Coastal N Reductions'!D18", 637.453615381595)</f>
        <v>637.453615381595</v>
      </c>
      <c r="N173" s="27">
        <f>HYPERLINK("[N&amp;P with New retention and Differentiation.xlsx]'Coastal N Reductions'!D18", 637.366610348775)</f>
        <v>637.366610348775</v>
      </c>
    </row>
    <row r="174" spans="1:14" x14ac:dyDescent="0.55000000000000004">
      <c r="A174" s="31">
        <v>122</v>
      </c>
      <c r="B174" s="5" t="s">
        <v>211</v>
      </c>
      <c r="C174" s="28">
        <f>HYPERLINK("[N&amp;P Old retention.xlsx]'Coastal N Reductions'!C19", 7576506.48666895)</f>
        <v>7576506.4866689499</v>
      </c>
      <c r="D174" s="28">
        <f>HYPERLINK("[N&amp;P New retention.xlsx]'Coastal N Reductions'!C19", 8359779.26805059)</f>
        <v>8359779.2680505896</v>
      </c>
      <c r="E174" s="28">
        <f>HYPERLINK("[N&amp;P with New retention and Differentiation.xlsx]'Coastal N Reductions'!C19", 8359966.17756051)</f>
        <v>8359966.1775605101</v>
      </c>
      <c r="F174" s="16">
        <f>D174-C174</f>
        <v>783272.78138163965</v>
      </c>
      <c r="G174" s="17">
        <f>D174/C174-1</f>
        <v>0.10338178720757751</v>
      </c>
      <c r="H174" s="16">
        <f>E174-C174</f>
        <v>783459.69089156017</v>
      </c>
      <c r="I174" s="17">
        <f>E174/C174-1</f>
        <v>0.10340645682414151</v>
      </c>
      <c r="J174" s="16">
        <f>E174-D174</f>
        <v>186.90950992051512</v>
      </c>
      <c r="K174" s="17">
        <f>E174/D174-1</f>
        <v>2.2358187211413139E-5</v>
      </c>
      <c r="L174" s="29">
        <f>HYPERLINK("[N&amp;P Old retention.xlsx]'Coastal N Reductions'!D19", 103.590346598142)</f>
        <v>103.59034659814201</v>
      </c>
      <c r="M174" s="29">
        <f>HYPERLINK("[N&amp;P New retention.xlsx]'Coastal N Reductions'!D19", 103.591149367668)</f>
        <v>103.591149367668</v>
      </c>
      <c r="N174" s="29">
        <f>HYPERLINK("[N&amp;P with New retention and Differentiation.xlsx]'Coastal N Reductions'!D19", 103.59107283629)</f>
        <v>103.59107283629</v>
      </c>
    </row>
    <row r="175" spans="1:14" x14ac:dyDescent="0.55000000000000004">
      <c r="A175" s="30">
        <v>123</v>
      </c>
      <c r="B175" s="6" t="s">
        <v>212</v>
      </c>
      <c r="C175" s="26">
        <f>HYPERLINK("[N&amp;P Old retention.xlsx]'Coastal N Reductions'!C20", 1882820.72086665)</f>
        <v>1882820.7208666501</v>
      </c>
      <c r="D175" s="26">
        <f>HYPERLINK("[N&amp;P New retention.xlsx]'Coastal N Reductions'!C20", 1500569.97489755)</f>
        <v>1500569.97489755</v>
      </c>
      <c r="E175" s="26">
        <f>HYPERLINK("[N&amp;P with New retention and Differentiation.xlsx]'Coastal N Reductions'!C20", 1501198.27621199)</f>
        <v>1501198.27621199</v>
      </c>
      <c r="F175" s="21">
        <f>D175-C175</f>
        <v>-382250.74596910016</v>
      </c>
      <c r="G175" s="22">
        <f>D175/C175-1</f>
        <v>-0.20302025664618384</v>
      </c>
      <c r="H175" s="21">
        <f>E175-C175</f>
        <v>-381622.44465466007</v>
      </c>
      <c r="I175" s="22">
        <f>E175/C175-1</f>
        <v>-0.20268655450052708</v>
      </c>
      <c r="J175" s="16">
        <f>E175-D175</f>
        <v>628.30131444009021</v>
      </c>
      <c r="K175" s="17">
        <f>E175/D175-1</f>
        <v>4.1870844075964087E-4</v>
      </c>
      <c r="L175" s="27">
        <f>HYPERLINK("[N&amp;P Old retention.xlsx]'Coastal N Reductions'!D20", 86.1535207379217)</f>
        <v>86.153520737921696</v>
      </c>
      <c r="M175" s="27">
        <f>HYPERLINK("[N&amp;P New retention.xlsx]'Coastal N Reductions'!D20", 86.1421664370346)</f>
        <v>86.142166437034604</v>
      </c>
      <c r="N175" s="27">
        <f>HYPERLINK("[N&amp;P with New retention and Differentiation.xlsx]'Coastal N Reductions'!D20", 86.1592017415871)</f>
        <v>86.159201741587097</v>
      </c>
    </row>
    <row r="176" spans="1:14" x14ac:dyDescent="0.55000000000000004">
      <c r="A176" s="31">
        <v>124</v>
      </c>
      <c r="B176" s="5" t="s">
        <v>213</v>
      </c>
      <c r="C176" s="28">
        <f>HYPERLINK("[N&amp;P Old retention.xlsx]'Coastal N Reductions'!C21", 18965521.931589)</f>
        <v>18965521.931589</v>
      </c>
      <c r="D176" s="28">
        <f>HYPERLINK("[N&amp;P New retention.xlsx]'Coastal N Reductions'!C21", 18264065.52463)</f>
        <v>18264065.524629999</v>
      </c>
      <c r="E176" s="28">
        <f>HYPERLINK("[N&amp;P with New retention and Differentiation.xlsx]'Coastal N Reductions'!C21", 18280066.8441546)</f>
        <v>18280066.8441546</v>
      </c>
      <c r="F176" s="21">
        <f>D176-C176</f>
        <v>-701456.40695900097</v>
      </c>
      <c r="G176" s="22">
        <f>D176/C176-1</f>
        <v>-3.6985874129340734E-2</v>
      </c>
      <c r="H176" s="21">
        <f>E176-C176</f>
        <v>-685455.08743439987</v>
      </c>
      <c r="I176" s="22">
        <f>E176/C176-1</f>
        <v>-3.614216839942086E-2</v>
      </c>
      <c r="J176" s="16">
        <f>E176-D176</f>
        <v>16001.319524601102</v>
      </c>
      <c r="K176" s="17">
        <f>E176/D176-1</f>
        <v>8.7610940198512566E-4</v>
      </c>
      <c r="L176" s="29">
        <f>HYPERLINK("[N&amp;P Old retention.xlsx]'Coastal N Reductions'!D21", 302.549648859202)</f>
        <v>302.54964885920202</v>
      </c>
      <c r="M176" s="29">
        <f>HYPERLINK("[N&amp;P New retention.xlsx]'Coastal N Reductions'!D21", 302.560293455286)</f>
        <v>302.560293455286</v>
      </c>
      <c r="N176" s="29">
        <f>HYPERLINK("[N&amp;P with New retention and Differentiation.xlsx]'Coastal N Reductions'!D21", 302.55213102205)</f>
        <v>302.55213102204999</v>
      </c>
    </row>
    <row r="177" spans="1:14" x14ac:dyDescent="0.55000000000000004">
      <c r="A177" s="30">
        <v>125</v>
      </c>
      <c r="B177" s="6" t="s">
        <v>214</v>
      </c>
      <c r="C177" s="26">
        <f>HYPERLINK("[N&amp;P Old retention.xlsx]'Coastal N Reductions'!C22", 2161586.98027069)</f>
        <v>2161586.9802706898</v>
      </c>
      <c r="D177" s="26">
        <f>HYPERLINK("[N&amp;P New retention.xlsx]'Coastal N Reductions'!C22", 4535386.02435005)</f>
        <v>4535386.0243500499</v>
      </c>
      <c r="E177" s="26">
        <f>HYPERLINK("[N&amp;P with New retention and Differentiation.xlsx]'Coastal N Reductions'!C22", 4535386.02435005)</f>
        <v>4535386.0243500499</v>
      </c>
      <c r="F177" s="16">
        <f>D177-C177</f>
        <v>2373799.0440793601</v>
      </c>
      <c r="G177" s="17">
        <f>D177/C177-1</f>
        <v>1.0981741959706359</v>
      </c>
      <c r="H177" s="16">
        <f>E177-C177</f>
        <v>2373799.0440793601</v>
      </c>
      <c r="I177" s="17">
        <f>E177/C177-1</f>
        <v>1.0981741959706359</v>
      </c>
      <c r="J177" s="13"/>
      <c r="K177" s="18"/>
      <c r="L177" s="27">
        <f>HYPERLINK("[N&amp;P Old retention.xlsx]'Coastal N Reductions'!D22", 33.6446677533219)</f>
        <v>33.644667753321897</v>
      </c>
      <c r="M177" s="27">
        <f>HYPERLINK("[N&amp;P New retention.xlsx]'Coastal N Reductions'!D22", 30.8789193620293)</f>
        <v>30.878919362029301</v>
      </c>
      <c r="N177" s="27">
        <f>HYPERLINK("[N&amp;P with New retention and Differentiation.xlsx]'Coastal N Reductions'!D22", 30.8789193620293)</f>
        <v>30.878919362029301</v>
      </c>
    </row>
    <row r="178" spans="1:14" x14ac:dyDescent="0.55000000000000004">
      <c r="A178" s="31">
        <v>127</v>
      </c>
      <c r="B178" s="5" t="s">
        <v>215</v>
      </c>
      <c r="C178" s="28">
        <f>HYPERLINK("[N&amp;P Old retention.xlsx]'Coastal N Reductions'!C23", 119729.089249444)</f>
        <v>119729.089249444</v>
      </c>
      <c r="D178" s="28">
        <f>HYPERLINK("[N&amp;P New retention.xlsx]'Coastal N Reductions'!C23", 160330.190292762)</f>
        <v>160330.19029276201</v>
      </c>
      <c r="E178" s="28">
        <f>HYPERLINK("[N&amp;P with New retention and Differentiation.xlsx]'Coastal N Reductions'!C23", 160503.23823953)</f>
        <v>160503.23823953001</v>
      </c>
      <c r="F178" s="16">
        <f>D178-C178</f>
        <v>40601.101043318005</v>
      </c>
      <c r="G178" s="17">
        <f>D178/C178-1</f>
        <v>0.33910807555488476</v>
      </c>
      <c r="H178" s="16">
        <f>E178-C178</f>
        <v>40774.148990086003</v>
      </c>
      <c r="I178" s="17">
        <f>E178/C178-1</f>
        <v>0.3405534047380665</v>
      </c>
      <c r="J178" s="16">
        <f>E178-D178</f>
        <v>173.04794676799793</v>
      </c>
      <c r="K178" s="17">
        <f>E178/D178-1</f>
        <v>1.0793222814244885E-3</v>
      </c>
      <c r="L178" s="29">
        <f>HYPERLINK("[N&amp;P Old retention.xlsx]'Coastal N Reductions'!D23", 5.47331483914305)</f>
        <v>5.4733148391430504</v>
      </c>
      <c r="M178" s="29">
        <f>HYPERLINK("[N&amp;P New retention.xlsx]'Coastal N Reductions'!D23", 5.45660680912971)</f>
        <v>5.4566068091297097</v>
      </c>
      <c r="N178" s="29">
        <f>HYPERLINK("[N&amp;P with New retention and Differentiation.xlsx]'Coastal N Reductions'!D23", 5.47477707760489)</f>
        <v>5.4747770776048901</v>
      </c>
    </row>
    <row r="179" spans="1:14" x14ac:dyDescent="0.55000000000000004">
      <c r="A179" s="30">
        <v>128</v>
      </c>
      <c r="B179" s="6" t="s">
        <v>216</v>
      </c>
      <c r="C179" s="26">
        <f>HYPERLINK("[N&amp;P Old retention.xlsx]'Coastal N Reductions'!C24", 47250966.8886089)</f>
        <v>47250966.888608903</v>
      </c>
      <c r="D179" s="26">
        <f>HYPERLINK("[N&amp;P New retention.xlsx]'Coastal N Reductions'!C24", 47250764.0886088)</f>
        <v>47250764.088608801</v>
      </c>
      <c r="E179" s="26">
        <f>HYPERLINK("[N&amp;P with New retention and Differentiation.xlsx]'Coastal N Reductions'!C24", 47477821.6702724)</f>
        <v>47477821.670272402</v>
      </c>
      <c r="F179" s="21">
        <f>D179-C179</f>
        <v>-202.8000001013279</v>
      </c>
      <c r="G179" s="22">
        <f>D179/C179-1</f>
        <v>-4.2919756664261399E-6</v>
      </c>
      <c r="H179" s="16">
        <f>E179-C179</f>
        <v>226854.78166349977</v>
      </c>
      <c r="I179" s="17">
        <f>E179/C179-1</f>
        <v>4.8010611549662574E-3</v>
      </c>
      <c r="J179" s="16">
        <f>E179-D179</f>
        <v>227057.5816636011</v>
      </c>
      <c r="K179" s="17">
        <f>E179/D179-1</f>
        <v>4.8053737551798648E-3</v>
      </c>
      <c r="L179" s="27">
        <f>HYPERLINK("[N&amp;P Old retention.xlsx]'Coastal N Reductions'!D24", 362.744329232722)</f>
        <v>362.74432923272201</v>
      </c>
      <c r="M179" s="27">
        <f>HYPERLINK("[N&amp;P New retention.xlsx]'Coastal N Reductions'!D24", 341.60036648991)</f>
        <v>341.60036648991002</v>
      </c>
      <c r="N179" s="27">
        <f>HYPERLINK("[N&amp;P with New retention and Differentiation.xlsx]'Coastal N Reductions'!D24", 346.671470650414)</f>
        <v>346.67147065041399</v>
      </c>
    </row>
    <row r="180" spans="1:14" x14ac:dyDescent="0.55000000000000004">
      <c r="A180" s="31">
        <v>129</v>
      </c>
      <c r="B180" s="5" t="s">
        <v>217</v>
      </c>
      <c r="C180" s="28">
        <f>HYPERLINK("[N&amp;P Old retention.xlsx]'Coastal N Reductions'!C25", 2780400.86343461)</f>
        <v>2780400.86343461</v>
      </c>
      <c r="D180" s="28">
        <f>HYPERLINK("[N&amp;P New retention.xlsx]'Coastal N Reductions'!C25", 3652151.05356772)</f>
        <v>3652151.0535677201</v>
      </c>
      <c r="E180" s="28">
        <f>HYPERLINK("[N&amp;P with New retention and Differentiation.xlsx]'Coastal N Reductions'!C25", 3740704.47244718)</f>
        <v>3740704.4724471802</v>
      </c>
      <c r="F180" s="16">
        <f>D180-C180</f>
        <v>871750.19013311015</v>
      </c>
      <c r="G180" s="17">
        <f>D180/C180-1</f>
        <v>0.31353399489893818</v>
      </c>
      <c r="H180" s="16">
        <f>E180-C180</f>
        <v>960303.60901257023</v>
      </c>
      <c r="I180" s="17">
        <f>E180/C180-1</f>
        <v>0.34538315019306731</v>
      </c>
      <c r="J180" s="16">
        <f>E180-D180</f>
        <v>88553.418879460078</v>
      </c>
      <c r="K180" s="17">
        <f>E180/D180-1</f>
        <v>2.424692122001737E-2</v>
      </c>
      <c r="L180" s="29">
        <f>HYPERLINK("[N&amp;P Old retention.xlsx]'Coastal N Reductions'!D25", 129.451957492637)</f>
        <v>129.45195749263701</v>
      </c>
      <c r="M180" s="29">
        <f>HYPERLINK("[N&amp;P New retention.xlsx]'Coastal N Reductions'!D25", 129.438204207695)</f>
        <v>129.43820420769501</v>
      </c>
      <c r="N180" s="29">
        <f>HYPERLINK("[N&amp;P with New retention and Differentiation.xlsx]'Coastal N Reductions'!D25", 129.450709136278)</f>
        <v>129.45070913627799</v>
      </c>
    </row>
    <row r="181" spans="1:14" x14ac:dyDescent="0.55000000000000004">
      <c r="A181" s="30">
        <v>130</v>
      </c>
      <c r="B181" s="6" t="s">
        <v>218</v>
      </c>
      <c r="C181" s="26">
        <f>HYPERLINK("[N&amp;P Old retention.xlsx]'Coastal N Reductions'!C26", 709966.070752314)</f>
        <v>709966.07075231394</v>
      </c>
      <c r="D181" s="26">
        <f>HYPERLINK("[N&amp;P New retention.xlsx]'Coastal N Reductions'!C26", 745658.462508016)</f>
        <v>745658.46250801603</v>
      </c>
      <c r="E181" s="26">
        <f>HYPERLINK("[N&amp;P with New retention and Differentiation.xlsx]'Coastal N Reductions'!C26", 764854.36910603)</f>
        <v>764854.36910602998</v>
      </c>
      <c r="F181" s="16">
        <f>D181-C181</f>
        <v>35692.39175570209</v>
      </c>
      <c r="G181" s="17">
        <f>D181/C181-1</f>
        <v>5.0273376751484466E-2</v>
      </c>
      <c r="H181" s="16">
        <f>E181-C181</f>
        <v>54888.298353716033</v>
      </c>
      <c r="I181" s="17">
        <f>E181/C181-1</f>
        <v>7.7311156990296448E-2</v>
      </c>
      <c r="J181" s="16">
        <f>E181-D181</f>
        <v>19195.906598013942</v>
      </c>
      <c r="K181" s="17">
        <f>E181/D181-1</f>
        <v>2.5743564330308333E-2</v>
      </c>
      <c r="L181" s="27">
        <f>HYPERLINK("[N&amp;P Old retention.xlsx]'Coastal N Reductions'!D26", 43.872450030412)</f>
        <v>43.872450030411997</v>
      </c>
      <c r="M181" s="27">
        <f>HYPERLINK("[N&amp;P New retention.xlsx]'Coastal N Reductions'!D26", 43.8430358323535)</f>
        <v>43.8430358323535</v>
      </c>
      <c r="N181" s="27">
        <f>HYPERLINK("[N&amp;P with New retention and Differentiation.xlsx]'Coastal N Reductions'!D26", 43.8580115592783)</f>
        <v>43.858011559278303</v>
      </c>
    </row>
    <row r="182" spans="1:14" x14ac:dyDescent="0.55000000000000004">
      <c r="A182" s="31">
        <v>131</v>
      </c>
      <c r="B182" s="5" t="s">
        <v>219</v>
      </c>
      <c r="C182" s="28">
        <f>HYPERLINK("[N&amp;P Old retention.xlsx]'Coastal N Reductions'!C27", 11821951.0959759)</f>
        <v>11821951.0959759</v>
      </c>
      <c r="D182" s="28">
        <f>HYPERLINK("[N&amp;P New retention.xlsx]'Coastal N Reductions'!C27", 8966473.05651149)</f>
        <v>8966473.0565114897</v>
      </c>
      <c r="E182" s="28">
        <f>HYPERLINK("[N&amp;P with New retention and Differentiation.xlsx]'Coastal N Reductions'!C27", 9448991.58889212)</f>
        <v>9448991.5888921209</v>
      </c>
      <c r="F182" s="21">
        <f>D182-C182</f>
        <v>-2855478.0394644104</v>
      </c>
      <c r="G182" s="22">
        <f>D182/C182-1</f>
        <v>-0.24154033596335822</v>
      </c>
      <c r="H182" s="21">
        <f>E182-C182</f>
        <v>-2372959.5070837792</v>
      </c>
      <c r="I182" s="22">
        <f>E182/C182-1</f>
        <v>-0.20072486240376308</v>
      </c>
      <c r="J182" s="16">
        <f>E182-D182</f>
        <v>482518.53238063119</v>
      </c>
      <c r="K182" s="17">
        <f>E182/D182-1</f>
        <v>5.3813637685580673E-2</v>
      </c>
      <c r="L182" s="29">
        <f>HYPERLINK("[N&amp;P Old retention.xlsx]'Coastal N Reductions'!D27", 471.558767014928)</f>
        <v>471.55876701492798</v>
      </c>
      <c r="M182" s="29">
        <f>HYPERLINK("[N&amp;P New retention.xlsx]'Coastal N Reductions'!D27", 471.562988779076)</f>
        <v>471.56298877907602</v>
      </c>
      <c r="N182" s="29">
        <f>HYPERLINK("[N&amp;P with New retention and Differentiation.xlsx]'Coastal N Reductions'!D27", 471.667150440038)</f>
        <v>471.66715044003797</v>
      </c>
    </row>
    <row r="183" spans="1:14" x14ac:dyDescent="0.55000000000000004">
      <c r="A183" s="30">
        <v>132</v>
      </c>
      <c r="B183" s="6" t="s">
        <v>220</v>
      </c>
      <c r="C183" s="26">
        <f>HYPERLINK("[N&amp;P Old retention.xlsx]'Coastal N Reductions'!C28", 46453162.3723148)</f>
        <v>46453162.372314803</v>
      </c>
      <c r="D183" s="26">
        <f>HYPERLINK("[N&amp;P New retention.xlsx]'Coastal N Reductions'!C28", 35995919.5931186)</f>
        <v>35995919.593118601</v>
      </c>
      <c r="E183" s="26">
        <f>HYPERLINK("[N&amp;P with New retention and Differentiation.xlsx]'Coastal N Reductions'!C28", 36852043.5267142)</f>
        <v>36852043.526714198</v>
      </c>
      <c r="F183" s="21">
        <f>D183-C183</f>
        <v>-10457242.779196203</v>
      </c>
      <c r="G183" s="22">
        <f>D183/C183-1</f>
        <v>-0.22511368968560297</v>
      </c>
      <c r="H183" s="21">
        <f>E183-C183</f>
        <v>-9601118.845600605</v>
      </c>
      <c r="I183" s="22">
        <f>E183/C183-1</f>
        <v>-0.20668385864990513</v>
      </c>
      <c r="J183" s="16">
        <f>E183-D183</f>
        <v>856123.93359559774</v>
      </c>
      <c r="K183" s="17">
        <f>E183/D183-1</f>
        <v>2.378391615696529E-2</v>
      </c>
      <c r="L183" s="27">
        <f>HYPERLINK("[N&amp;P Old retention.xlsx]'Coastal N Reductions'!D28", 1685.75415436126)</f>
        <v>1685.7541543612599</v>
      </c>
      <c r="M183" s="27">
        <f>HYPERLINK("[N&amp;P New retention.xlsx]'Coastal N Reductions'!D28", 1685.82050594144)</f>
        <v>1685.8205059414399</v>
      </c>
      <c r="N183" s="27">
        <f>HYPERLINK("[N&amp;P with New retention and Differentiation.xlsx]'Coastal N Reductions'!D28", 1685.87343601394)</f>
        <v>1685.8734360139399</v>
      </c>
    </row>
    <row r="184" spans="1:14" x14ac:dyDescent="0.55000000000000004">
      <c r="A184" s="31">
        <v>133</v>
      </c>
      <c r="B184" s="5" t="s">
        <v>221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x14ac:dyDescent="0.55000000000000004">
      <c r="A185" s="30">
        <v>136</v>
      </c>
      <c r="B185" s="6" t="s">
        <v>222</v>
      </c>
      <c r="C185" s="26">
        <f>HYPERLINK("[N&amp;P Old retention.xlsx]'Coastal N Reductions'!C30", 71722805.9656557)</f>
        <v>71722805.965655699</v>
      </c>
      <c r="D185" s="26">
        <f>HYPERLINK("[N&amp;P New retention.xlsx]'Coastal N Reductions'!C30", 69720622.7839619)</f>
        <v>69720622.783961907</v>
      </c>
      <c r="E185" s="26">
        <f>HYPERLINK("[N&amp;P with New retention and Differentiation.xlsx]'Coastal N Reductions'!C30", 69850518.1943899)</f>
        <v>69850518.194389895</v>
      </c>
      <c r="F185" s="21">
        <f>D185-C185</f>
        <v>-2002183.1816937923</v>
      </c>
      <c r="G185" s="22">
        <f>D185/C185-1</f>
        <v>-2.7915572386453147E-2</v>
      </c>
      <c r="H185" s="21">
        <f>E185-C185</f>
        <v>-1872287.7712658048</v>
      </c>
      <c r="I185" s="22">
        <f>E185/C185-1</f>
        <v>-2.6104496973561542E-2</v>
      </c>
      <c r="J185" s="16">
        <f>E185-D185</f>
        <v>129895.41042798758</v>
      </c>
      <c r="K185" s="17">
        <f>E185/D185-1</f>
        <v>1.8630844826283965E-3</v>
      </c>
      <c r="L185" s="27">
        <f>HYPERLINK("[N&amp;P Old retention.xlsx]'Coastal N Reductions'!D30", 348.87124372613)</f>
        <v>348.87124372612999</v>
      </c>
      <c r="M185" s="27">
        <f>HYPERLINK("[N&amp;P New retention.xlsx]'Coastal N Reductions'!D30", 348.894407942879)</f>
        <v>348.89440794287901</v>
      </c>
      <c r="N185" s="27">
        <f>HYPERLINK("[N&amp;P with New retention and Differentiation.xlsx]'Coastal N Reductions'!D30", 348.863620106392)</f>
        <v>348.86362010639198</v>
      </c>
    </row>
    <row r="186" spans="1:14" x14ac:dyDescent="0.55000000000000004">
      <c r="A186" s="31">
        <v>137</v>
      </c>
      <c r="B186" s="5" t="s">
        <v>223</v>
      </c>
      <c r="C186" s="28">
        <f>HYPERLINK("[N&amp;P Old retention.xlsx]'Coastal N Reductions'!C31", 281040.52923215)</f>
        <v>281040.52923215</v>
      </c>
      <c r="D186" s="28">
        <f>HYPERLINK("[N&amp;P New retention.xlsx]'Coastal N Reductions'!C31", 206202.037433115)</f>
        <v>206202.03743311501</v>
      </c>
      <c r="E186" s="28">
        <f>HYPERLINK("[N&amp;P with New retention and Differentiation.xlsx]'Coastal N Reductions'!C31", 205956.727913784)</f>
        <v>205956.72791378401</v>
      </c>
      <c r="F186" s="21">
        <f>D186-C186</f>
        <v>-74838.491799034993</v>
      </c>
      <c r="G186" s="22">
        <f>D186/C186-1</f>
        <v>-0.26629074462500602</v>
      </c>
      <c r="H186" s="21">
        <f>E186-C186</f>
        <v>-75083.801318365993</v>
      </c>
      <c r="I186" s="22">
        <f>E186/C186-1</f>
        <v>-0.26716360634356751</v>
      </c>
      <c r="J186" s="21">
        <f>E186-D186</f>
        <v>-245.30951933100005</v>
      </c>
      <c r="K186" s="22">
        <f>E186/D186-1</f>
        <v>-1.1896561371784742E-3</v>
      </c>
      <c r="L186" s="29">
        <f>HYPERLINK("[N&amp;P Old retention.xlsx]'Coastal N Reductions'!D31", 23.5532101357)</f>
        <v>23.553210135699999</v>
      </c>
      <c r="M186" s="29">
        <f>HYPERLINK("[N&amp;P New retention.xlsx]'Coastal N Reductions'!D31", 23.5487852217305)</f>
        <v>23.548785221730501</v>
      </c>
      <c r="N186" s="29">
        <f>HYPERLINK("[N&amp;P with New retention and Differentiation.xlsx]'Coastal N Reductions'!D31", 23.5460629598638)</f>
        <v>23.5460629598638</v>
      </c>
    </row>
    <row r="187" spans="1:14" x14ac:dyDescent="0.55000000000000004">
      <c r="A187" s="30">
        <v>138</v>
      </c>
      <c r="B187" s="6" t="s">
        <v>224</v>
      </c>
      <c r="C187" s="18"/>
      <c r="D187" s="18"/>
      <c r="E187" s="18"/>
      <c r="F187" s="13"/>
      <c r="G187" s="18"/>
      <c r="H187" s="13"/>
      <c r="I187" s="18"/>
      <c r="J187" s="13"/>
      <c r="K187" s="18"/>
      <c r="L187" s="18"/>
      <c r="M187" s="18"/>
      <c r="N187" s="18"/>
    </row>
    <row r="188" spans="1:14" x14ac:dyDescent="0.55000000000000004">
      <c r="A188" s="31">
        <v>139</v>
      </c>
      <c r="B188" s="5" t="s">
        <v>225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x14ac:dyDescent="0.55000000000000004">
      <c r="A189" s="30">
        <v>140</v>
      </c>
      <c r="B189" s="6" t="s">
        <v>226</v>
      </c>
      <c r="C189" s="26">
        <f>HYPERLINK("[N&amp;P Old retention.xlsx]'Coastal N Reductions'!C34", 2505980.44314608)</f>
        <v>2505980.4431460798</v>
      </c>
      <c r="D189" s="26">
        <f>HYPERLINK("[N&amp;P New retention.xlsx]'Coastal N Reductions'!C34", 1278345.34846208)</f>
        <v>1278345.3484620799</v>
      </c>
      <c r="E189" s="26">
        <f>HYPERLINK("[N&amp;P with New retention and Differentiation.xlsx]'Coastal N Reductions'!C34", 1259827.53151879)</f>
        <v>1259827.5315187899</v>
      </c>
      <c r="F189" s="21">
        <f>D189-C189</f>
        <v>-1227635.0946839999</v>
      </c>
      <c r="G189" s="22">
        <f>D189/C189-1</f>
        <v>-0.48988215292805382</v>
      </c>
      <c r="H189" s="21">
        <f>E189-C189</f>
        <v>-1246152.9116272898</v>
      </c>
      <c r="I189" s="22">
        <f>E189/C189-1</f>
        <v>-0.49727160283135874</v>
      </c>
      <c r="J189" s="21">
        <f>E189-D189</f>
        <v>-18517.816943289945</v>
      </c>
      <c r="K189" s="22">
        <f>E189/D189-1</f>
        <v>-1.4485770191574487E-2</v>
      </c>
      <c r="L189" s="27">
        <f>HYPERLINK("[N&amp;P Old retention.xlsx]'Coastal N Reductions'!D34", 108.275719956483)</f>
        <v>108.275719956483</v>
      </c>
      <c r="M189" s="27">
        <f>HYPERLINK("[N&amp;P New retention.xlsx]'Coastal N Reductions'!D34", 108.305267598107)</f>
        <v>108.30526759810699</v>
      </c>
      <c r="N189" s="27">
        <f>HYPERLINK("[N&amp;P with New retention and Differentiation.xlsx]'Coastal N Reductions'!D34", 108.269991810737)</f>
        <v>108.269991810737</v>
      </c>
    </row>
    <row r="190" spans="1:14" x14ac:dyDescent="0.55000000000000004">
      <c r="A190" s="31">
        <v>141</v>
      </c>
      <c r="B190" s="5" t="s">
        <v>227</v>
      </c>
      <c r="C190" s="28">
        <f>HYPERLINK("[N&amp;P Old retention.xlsx]'Coastal N Reductions'!C35", 8876.20206456438)</f>
        <v>8876.2020645643806</v>
      </c>
      <c r="D190" s="28">
        <f>HYPERLINK("[N&amp;P New retention.xlsx]'Coastal N Reductions'!C35", 5803.33542049852)</f>
        <v>5803.3354204985199</v>
      </c>
      <c r="E190" s="28">
        <f>HYPERLINK("[N&amp;P with New retention and Differentiation.xlsx]'Coastal N Reductions'!C35", 5803.50956271489)</f>
        <v>5803.5095627148903</v>
      </c>
      <c r="F190" s="21">
        <f>D190-C190</f>
        <v>-3072.8666440658608</v>
      </c>
      <c r="G190" s="22">
        <f>D190/C190-1</f>
        <v>-0.34619160556668427</v>
      </c>
      <c r="H190" s="21">
        <f>E190-C190</f>
        <v>-3072.6925018494903</v>
      </c>
      <c r="I190" s="22">
        <f>E190/C190-1</f>
        <v>-0.34617198656577564</v>
      </c>
      <c r="J190" s="16">
        <f>E190-D190</f>
        <v>0.17414221637045557</v>
      </c>
      <c r="K190" s="17">
        <f>E190/D190-1</f>
        <v>3.0007263711828713E-5</v>
      </c>
      <c r="L190" s="29">
        <f>HYPERLINK("[N&amp;P Old retention.xlsx]'Coastal N Reductions'!D35", 0.525160164624693)</f>
        <v>0.52516016462469295</v>
      </c>
      <c r="M190" s="29">
        <f>HYPERLINK("[N&amp;P New retention.xlsx]'Coastal N Reductions'!D35", 0.522131960470291)</f>
        <v>0.52213196047029098</v>
      </c>
      <c r="N190" s="29">
        <f>HYPERLINK("[N&amp;P with New retention and Differentiation.xlsx]'Coastal N Reductions'!D35", 0.518405387903054)</f>
        <v>0.51840538790305402</v>
      </c>
    </row>
    <row r="191" spans="1:14" x14ac:dyDescent="0.55000000000000004">
      <c r="A191" s="30">
        <v>142</v>
      </c>
      <c r="B191" s="6" t="s">
        <v>228</v>
      </c>
      <c r="C191" s="26">
        <f>HYPERLINK("[N&amp;P Old retention.xlsx]'Coastal N Reductions'!C36", 31622.0734039712)</f>
        <v>31622.073403971201</v>
      </c>
      <c r="D191" s="26">
        <f>HYPERLINK("[N&amp;P New retention.xlsx]'Coastal N Reductions'!C36", 28243.3470898962)</f>
        <v>28243.3470898962</v>
      </c>
      <c r="E191" s="26">
        <f>HYPERLINK("[N&amp;P with New retention and Differentiation.xlsx]'Coastal N Reductions'!C36", 28002.8451031329)</f>
        <v>28002.845103132899</v>
      </c>
      <c r="F191" s="21">
        <f>D191-C191</f>
        <v>-3378.7263140750001</v>
      </c>
      <c r="G191" s="22">
        <f>D191/C191-1</f>
        <v>-0.10684708339367432</v>
      </c>
      <c r="H191" s="21">
        <f>E191-C191</f>
        <v>-3619.2283008383019</v>
      </c>
      <c r="I191" s="22">
        <f>E191/C191-1</f>
        <v>-0.11445259311755906</v>
      </c>
      <c r="J191" s="21">
        <f>E191-D191</f>
        <v>-240.50198676330183</v>
      </c>
      <c r="K191" s="22">
        <f>E191/D191-1</f>
        <v>-8.5153500397032733E-3</v>
      </c>
      <c r="L191" s="27">
        <f>HYPERLINK("[N&amp;P Old retention.xlsx]'Coastal N Reductions'!D36", 1.00116740376103)</f>
        <v>1.0011674037610301</v>
      </c>
      <c r="M191" s="27">
        <f>HYPERLINK("[N&amp;P New retention.xlsx]'Coastal N Reductions'!D36", 0.981325026861749)</f>
        <v>0.98132502686174905</v>
      </c>
      <c r="N191" s="27">
        <f>HYPERLINK("[N&amp;P with New retention and Differentiation.xlsx]'Coastal N Reductions'!D36", 0.979864437034304)</f>
        <v>0.97986443703430404</v>
      </c>
    </row>
    <row r="192" spans="1:14" x14ac:dyDescent="0.55000000000000004">
      <c r="A192" s="31">
        <v>144</v>
      </c>
      <c r="B192" s="5" t="s">
        <v>229</v>
      </c>
      <c r="C192" s="28">
        <f>HYPERLINK("[N&amp;P Old retention.xlsx]'Coastal N Reductions'!C37", 79711.978145437)</f>
        <v>79711.978145436995</v>
      </c>
      <c r="D192" s="28">
        <f>HYPERLINK("[N&amp;P New retention.xlsx]'Coastal N Reductions'!C37", 44602.4779114402)</f>
        <v>44602.477911440197</v>
      </c>
      <c r="E192" s="28">
        <f>HYPERLINK("[N&amp;P with New retention and Differentiation.xlsx]'Coastal N Reductions'!C37", 45027.9237572739)</f>
        <v>45027.9237572739</v>
      </c>
      <c r="F192" s="21">
        <f>D192-C192</f>
        <v>-35109.500233996798</v>
      </c>
      <c r="G192" s="22">
        <f>D192/C192-1</f>
        <v>-0.4404545094833604</v>
      </c>
      <c r="H192" s="21">
        <f>E192-C192</f>
        <v>-34684.054388163095</v>
      </c>
      <c r="I192" s="22">
        <f>E192/C192-1</f>
        <v>-0.43511722071281378</v>
      </c>
      <c r="J192" s="16">
        <f>E192-D192</f>
        <v>425.44584583370306</v>
      </c>
      <c r="K192" s="17">
        <f>E192/D192-1</f>
        <v>9.5386145738010075E-3</v>
      </c>
      <c r="L192" s="29">
        <f>HYPERLINK("[N&amp;P Old retention.xlsx]'Coastal N Reductions'!D37", 3.0573881004242)</f>
        <v>3.0573881004242001</v>
      </c>
      <c r="M192" s="29">
        <f>HYPERLINK("[N&amp;P New retention.xlsx]'Coastal N Reductions'!D37", 3.0468016154505)</f>
        <v>3.0468016154505002</v>
      </c>
      <c r="N192" s="29">
        <f>HYPERLINK("[N&amp;P with New retention and Differentiation.xlsx]'Coastal N Reductions'!D37", 3.05778504222078)</f>
        <v>3.0577850422207802</v>
      </c>
    </row>
    <row r="193" spans="1:14" x14ac:dyDescent="0.55000000000000004">
      <c r="A193" s="30">
        <v>145</v>
      </c>
      <c r="B193" s="6" t="s">
        <v>230</v>
      </c>
      <c r="C193" s="18"/>
      <c r="D193" s="18"/>
      <c r="E193" s="18"/>
      <c r="F193" s="13"/>
      <c r="G193" s="18"/>
      <c r="H193" s="13"/>
      <c r="I193" s="18"/>
      <c r="J193" s="13"/>
      <c r="K193" s="18"/>
      <c r="L193" s="18"/>
      <c r="M193" s="18"/>
      <c r="N193" s="18"/>
    </row>
    <row r="194" spans="1:14" x14ac:dyDescent="0.55000000000000004">
      <c r="A194" s="31">
        <v>146</v>
      </c>
      <c r="B194" s="5" t="s">
        <v>231</v>
      </c>
      <c r="C194" s="28">
        <f>HYPERLINK("[N&amp;P Old retention.xlsx]'Coastal N Reductions'!C39", 386111.292306738)</f>
        <v>386111.29230673797</v>
      </c>
      <c r="D194" s="28">
        <f>HYPERLINK("[N&amp;P New retention.xlsx]'Coastal N Reductions'!C39", 395036.116708229)</f>
        <v>395036.116708229</v>
      </c>
      <c r="E194" s="28">
        <f>HYPERLINK("[N&amp;P with New retention and Differentiation.xlsx]'Coastal N Reductions'!C39", 386534.014074894)</f>
        <v>386534.01407489402</v>
      </c>
      <c r="F194" s="16">
        <f>D194-C194</f>
        <v>8924.8244014910306</v>
      </c>
      <c r="G194" s="17">
        <f>D194/C194-1</f>
        <v>2.3114642278840414E-2</v>
      </c>
      <c r="H194" s="16">
        <f>E194-C194</f>
        <v>422.72176815604325</v>
      </c>
      <c r="I194" s="17">
        <f>E194/C194-1</f>
        <v>1.0948184541057504E-3</v>
      </c>
      <c r="J194" s="21">
        <f>E194-D194</f>
        <v>-8502.1026333349873</v>
      </c>
      <c r="K194" s="22">
        <f>E194/D194-1</f>
        <v>-2.1522342575108322E-2</v>
      </c>
      <c r="L194" s="29">
        <f>HYPERLINK("[N&amp;P Old retention.xlsx]'Coastal N Reductions'!D39", 17.2980075843479)</f>
        <v>17.2980075843479</v>
      </c>
      <c r="M194" s="29">
        <f>HYPERLINK("[N&amp;P New retention.xlsx]'Coastal N Reductions'!D39", 17.2988728914761)</f>
        <v>17.298872891476101</v>
      </c>
      <c r="N194" s="29">
        <f>HYPERLINK("[N&amp;P with New retention and Differentiation.xlsx]'Coastal N Reductions'!D39", 17.3128726354674)</f>
        <v>17.3128726354674</v>
      </c>
    </row>
    <row r="195" spans="1:14" x14ac:dyDescent="0.55000000000000004">
      <c r="A195" s="30">
        <v>147</v>
      </c>
      <c r="B195" s="6" t="s">
        <v>232</v>
      </c>
      <c r="C195" s="26">
        <f>HYPERLINK("[N&amp;P Old retention.xlsx]'Coastal N Reductions'!C40", 5676851.88808839)</f>
        <v>5676851.8880883902</v>
      </c>
      <c r="D195" s="26">
        <f>HYPERLINK("[N&amp;P New retention.xlsx]'Coastal N Reductions'!C40", 5674152.75305311)</f>
        <v>5674152.7530531101</v>
      </c>
      <c r="E195" s="26">
        <f>HYPERLINK("[N&amp;P with New retention and Differentiation.xlsx]'Coastal N Reductions'!C40", 5677569.86710563)</f>
        <v>5677569.8671056302</v>
      </c>
      <c r="F195" s="21">
        <f>D195-C195</f>
        <v>-2699.1350352801383</v>
      </c>
      <c r="G195" s="22">
        <f>D195/C195-1</f>
        <v>-4.7546335336734469E-4</v>
      </c>
      <c r="H195" s="16">
        <f>E195-C195</f>
        <v>717.9790172399953</v>
      </c>
      <c r="I195" s="17">
        <f>E195/C195-1</f>
        <v>1.2647485461902974E-4</v>
      </c>
      <c r="J195" s="16">
        <f>E195-D195</f>
        <v>3417.1140525201336</v>
      </c>
      <c r="K195" s="17">
        <f>E195/D195-1</f>
        <v>6.0222454368741296E-4</v>
      </c>
      <c r="L195" s="27">
        <f>HYPERLINK("[N&amp;P Old retention.xlsx]'Coastal N Reductions'!D40", 21.225839538152)</f>
        <v>21.225839538152002</v>
      </c>
      <c r="M195" s="27">
        <f>HYPERLINK("[N&amp;P New retention.xlsx]'Coastal N Reductions'!D40", 20.5070844425121)</f>
        <v>20.507084442512099</v>
      </c>
      <c r="N195" s="27">
        <f>HYPERLINK("[N&amp;P with New retention and Differentiation.xlsx]'Coastal N Reductions'!D40", 20.5036966244409)</f>
        <v>20.503696624440899</v>
      </c>
    </row>
    <row r="196" spans="1:14" x14ac:dyDescent="0.55000000000000004">
      <c r="A196" s="31">
        <v>154</v>
      </c>
      <c r="B196" s="5" t="s">
        <v>233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x14ac:dyDescent="0.55000000000000004">
      <c r="A197" s="30">
        <v>157</v>
      </c>
      <c r="B197" s="6" t="s">
        <v>234</v>
      </c>
      <c r="C197" s="26">
        <f>HYPERLINK("[N&amp;P Old retention.xlsx]'Coastal N Reductions'!C42", 18143744.7216384)</f>
        <v>18143744.7216384</v>
      </c>
      <c r="D197" s="26">
        <f>HYPERLINK("[N&amp;P New retention.xlsx]'Coastal N Reductions'!C42", 17154417.1095811)</f>
        <v>17154417.109581102</v>
      </c>
      <c r="E197" s="26">
        <f>HYPERLINK("[N&amp;P with New retention and Differentiation.xlsx]'Coastal N Reductions'!C42", 17213363.8282899)</f>
        <v>17213363.8282899</v>
      </c>
      <c r="F197" s="21">
        <f>D197-C197</f>
        <v>-989327.61205729842</v>
      </c>
      <c r="G197" s="22">
        <f>D197/C197-1</f>
        <v>-5.4527200819653121E-2</v>
      </c>
      <c r="H197" s="21">
        <f>E197-C197</f>
        <v>-930380.89334850013</v>
      </c>
      <c r="I197" s="22">
        <f>E197/C197-1</f>
        <v>-5.1278328020065156E-2</v>
      </c>
      <c r="J197" s="16">
        <f>E197-D197</f>
        <v>58946.718708798289</v>
      </c>
      <c r="K197" s="17">
        <f>E197/D197-1</f>
        <v>3.4362414258817253E-3</v>
      </c>
      <c r="L197" s="27">
        <f>HYPERLINK("[N&amp;P Old retention.xlsx]'Coastal N Reductions'!D42", 572.566183456669)</f>
        <v>572.56618345666902</v>
      </c>
      <c r="M197" s="27">
        <f>HYPERLINK("[N&amp;P New retention.xlsx]'Coastal N Reductions'!D42", 572.552668518466)</f>
        <v>572.55266851846602</v>
      </c>
      <c r="N197" s="27">
        <f>HYPERLINK("[N&amp;P with New retention and Differentiation.xlsx]'Coastal N Reductions'!D42", 572.561198915829)</f>
        <v>572.56119891582898</v>
      </c>
    </row>
    <row r="198" spans="1:14" x14ac:dyDescent="0.55000000000000004">
      <c r="A198" s="31">
        <v>158</v>
      </c>
      <c r="B198" s="5" t="s">
        <v>235</v>
      </c>
      <c r="C198" s="28">
        <f>HYPERLINK("[N&amp;P Old retention.xlsx]'Coastal N Reductions'!C43", 33260998.4809074)</f>
        <v>33260998.480907399</v>
      </c>
      <c r="D198" s="28">
        <f>HYPERLINK("[N&amp;P New retention.xlsx]'Coastal N Reductions'!C43", 30737034.560113)</f>
        <v>30737034.560113002</v>
      </c>
      <c r="E198" s="28">
        <f>HYPERLINK("[N&amp;P with New retention and Differentiation.xlsx]'Coastal N Reductions'!C43", 30737363.775884)</f>
        <v>30737363.775883999</v>
      </c>
      <c r="F198" s="21">
        <f>D198-C198</f>
        <v>-2523963.9207943976</v>
      </c>
      <c r="G198" s="22">
        <f>D198/C198-1</f>
        <v>-7.5883588469035645E-2</v>
      </c>
      <c r="H198" s="21">
        <f>E198-C198</f>
        <v>-2523634.7050234005</v>
      </c>
      <c r="I198" s="22">
        <f>E198/C198-1</f>
        <v>-7.5873690516898518E-2</v>
      </c>
      <c r="J198" s="16">
        <f>E198-D198</f>
        <v>329.21577099710703</v>
      </c>
      <c r="K198" s="17">
        <f>E198/D198-1</f>
        <v>1.0710720006246177E-5</v>
      </c>
      <c r="L198" s="29">
        <f>HYPERLINK("[N&amp;P Old retention.xlsx]'Coastal N Reductions'!D43", 873.897951028555)</f>
        <v>873.89795102855498</v>
      </c>
      <c r="M198" s="29">
        <f>HYPERLINK("[N&amp;P New retention.xlsx]'Coastal N Reductions'!D43", 873.879325831095)</f>
        <v>873.879325831095</v>
      </c>
      <c r="N198" s="29">
        <f>HYPERLINK("[N&amp;P with New retention and Differentiation.xlsx]'Coastal N Reductions'!D43", 873.894310752225)</f>
        <v>873.89431075222501</v>
      </c>
    </row>
    <row r="199" spans="1:14" x14ac:dyDescent="0.55000000000000004">
      <c r="A199" s="30">
        <v>159</v>
      </c>
      <c r="B199" s="6" t="s">
        <v>236</v>
      </c>
      <c r="C199" s="26">
        <f>HYPERLINK("[N&amp;P Old retention.xlsx]'Coastal N Reductions'!C44", 9435998.26778314)</f>
        <v>9435998.2677831408</v>
      </c>
      <c r="D199" s="26">
        <f>HYPERLINK("[N&amp;P New retention.xlsx]'Coastal N Reductions'!C44", 5851577.88638547)</f>
        <v>5851577.8863854697</v>
      </c>
      <c r="E199" s="26">
        <f>HYPERLINK("[N&amp;P with New retention and Differentiation.xlsx]'Coastal N Reductions'!C44", 5852086.95716073)</f>
        <v>5852086.9571607299</v>
      </c>
      <c r="F199" s="21">
        <f>D199-C199</f>
        <v>-3584420.3813976711</v>
      </c>
      <c r="G199" s="22">
        <f>D199/C199-1</f>
        <v>-0.37986657899628695</v>
      </c>
      <c r="H199" s="21">
        <f>E199-C199</f>
        <v>-3583911.3106224108</v>
      </c>
      <c r="I199" s="22">
        <f>E199/C199-1</f>
        <v>-0.3798126291373729</v>
      </c>
      <c r="J199" s="16">
        <f>E199-D199</f>
        <v>509.07077526021749</v>
      </c>
      <c r="K199" s="17">
        <f>E199/D199-1</f>
        <v>8.6997180101633376E-5</v>
      </c>
      <c r="L199" s="27">
        <f>HYPERLINK("[N&amp;P Old retention.xlsx]'Coastal N Reductions'!D44", 216.764439983037)</f>
        <v>216.76443998303699</v>
      </c>
      <c r="M199" s="27">
        <f>HYPERLINK("[N&amp;P New retention.xlsx]'Coastal N Reductions'!D44", 216.760641150475)</f>
        <v>216.76064115047501</v>
      </c>
      <c r="N199" s="27">
        <f>HYPERLINK("[N&amp;P with New retention and Differentiation.xlsx]'Coastal N Reductions'!D44", 216.768806671223)</f>
        <v>216.76880667122299</v>
      </c>
    </row>
    <row r="200" spans="1:14" x14ac:dyDescent="0.55000000000000004">
      <c r="A200" s="31">
        <v>160</v>
      </c>
      <c r="B200" s="5" t="s">
        <v>237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x14ac:dyDescent="0.55000000000000004">
      <c r="A201" s="30">
        <v>165</v>
      </c>
      <c r="B201" s="6" t="s">
        <v>238</v>
      </c>
      <c r="C201" s="26">
        <f>HYPERLINK("[N&amp;P Old retention.xlsx]'Coastal N Reductions'!C47", 26098781.7725328)</f>
        <v>26098781.772532798</v>
      </c>
      <c r="D201" s="26">
        <f>HYPERLINK("[N&amp;P New retention.xlsx]'Coastal N Reductions'!C47", 31105729.767399)</f>
        <v>31105729.767398998</v>
      </c>
      <c r="E201" s="26">
        <f>HYPERLINK("[N&amp;P with New retention and Differentiation.xlsx]'Coastal N Reductions'!C47", 30065111.016494)</f>
        <v>30065111.016493998</v>
      </c>
      <c r="F201" s="16">
        <f>D201-C201</f>
        <v>5006947.9948661998</v>
      </c>
      <c r="G201" s="17">
        <f>D201/C201-1</f>
        <v>0.19184604241320091</v>
      </c>
      <c r="H201" s="16">
        <f>E201-C201</f>
        <v>3966329.2439612001</v>
      </c>
      <c r="I201" s="17">
        <f>E201/C201-1</f>
        <v>0.15197373113159984</v>
      </c>
      <c r="J201" s="21">
        <f>E201-D201</f>
        <v>-1040618.7509049997</v>
      </c>
      <c r="K201" s="22">
        <f>E201/D201-1</f>
        <v>-3.3454246490485562E-2</v>
      </c>
      <c r="L201" s="27">
        <f>HYPERLINK("[N&amp;P Old retention.xlsx]'Coastal N Reductions'!D47", 542.865717679472)</f>
        <v>542.86571767947203</v>
      </c>
      <c r="M201" s="27">
        <f>HYPERLINK("[N&amp;P New retention.xlsx]'Coastal N Reductions'!D47", 542.900491825207)</f>
        <v>542.90049182520704</v>
      </c>
      <c r="N201" s="27">
        <f>HYPERLINK("[N&amp;P with New retention and Differentiation.xlsx]'Coastal N Reductions'!D47", 542.918269192738)</f>
        <v>542.91826919273797</v>
      </c>
    </row>
    <row r="202" spans="1:14" x14ac:dyDescent="0.55000000000000004">
      <c r="A202" s="31">
        <v>200</v>
      </c>
      <c r="B202" s="5" t="s">
        <v>239</v>
      </c>
      <c r="C202" s="28">
        <f>HYPERLINK("[N&amp;P Old retention.xlsx]'Coastal N Reductions'!C51", 4228414.37808253)</f>
        <v>4228414.3780825296</v>
      </c>
      <c r="D202" s="28">
        <f>HYPERLINK("[N&amp;P New retention.xlsx]'Coastal N Reductions'!C51", 4917499.18071421)</f>
        <v>4917499.1807142096</v>
      </c>
      <c r="E202" s="28">
        <f>HYPERLINK("[N&amp;P with New retention and Differentiation.xlsx]'Coastal N Reductions'!C51", 4867751.72182186)</f>
        <v>4867751.7218218604</v>
      </c>
      <c r="F202" s="16">
        <f>D202-C202</f>
        <v>689084.80263167992</v>
      </c>
      <c r="G202" s="17">
        <f>D202/C202-1</f>
        <v>0.16296529644858526</v>
      </c>
      <c r="H202" s="16">
        <f>E202-C202</f>
        <v>639337.34373933077</v>
      </c>
      <c r="I202" s="17">
        <f>E202/C202-1</f>
        <v>0.15120025772621948</v>
      </c>
      <c r="J202" s="21">
        <f>E202-D202</f>
        <v>-49747.458892349154</v>
      </c>
      <c r="K202" s="22">
        <f>E202/D202-1</f>
        <v>-1.011641427159804E-2</v>
      </c>
      <c r="L202" s="29">
        <f>HYPERLINK("[N&amp;P Old retention.xlsx]'Coastal N Reductions'!D51", 107.035200919491)</f>
        <v>107.035200919491</v>
      </c>
      <c r="M202" s="29">
        <f>HYPERLINK("[N&amp;P New retention.xlsx]'Coastal N Reductions'!D51", 106.780304781734)</f>
        <v>106.780304781734</v>
      </c>
      <c r="N202" s="29">
        <f>HYPERLINK("[N&amp;P with New retention and Differentiation.xlsx]'Coastal N Reductions'!D51", 107.024953470496)</f>
        <v>107.024953470496</v>
      </c>
    </row>
    <row r="203" spans="1:14" x14ac:dyDescent="0.55000000000000004">
      <c r="A203" s="30">
        <v>201</v>
      </c>
      <c r="B203" s="6" t="s">
        <v>240</v>
      </c>
      <c r="C203" s="26">
        <f>HYPERLINK("[N&amp;P Old retention.xlsx]'Coastal N Reductions'!C52", 3821081.95212032)</f>
        <v>3821081.9521203199</v>
      </c>
      <c r="D203" s="26">
        <f>HYPERLINK("[N&amp;P New retention.xlsx]'Coastal N Reductions'!C52", 3830069.21058013)</f>
        <v>3830069.2105801301</v>
      </c>
      <c r="E203" s="26">
        <f>HYPERLINK("[N&amp;P with New retention and Differentiation.xlsx]'Coastal N Reductions'!C52", 3828222.20069154)</f>
        <v>3828222.2006915398</v>
      </c>
      <c r="F203" s="16">
        <f>D203-C203</f>
        <v>8987.2584598101676</v>
      </c>
      <c r="G203" s="17">
        <f>D203/C203-1</f>
        <v>2.3520192899351144E-3</v>
      </c>
      <c r="H203" s="16">
        <f>E203-C203</f>
        <v>7140.2485712198541</v>
      </c>
      <c r="I203" s="17">
        <f>E203/C203-1</f>
        <v>1.8686457554928371E-3</v>
      </c>
      <c r="J203" s="21">
        <f>E203-D203</f>
        <v>-1847.0098885903135</v>
      </c>
      <c r="K203" s="22">
        <f>E203/D203-1</f>
        <v>-4.8223929831037182E-4</v>
      </c>
      <c r="L203" s="27">
        <f>HYPERLINK("[N&amp;P Old retention.xlsx]'Coastal N Reductions'!D52", 12.7218650084886)</f>
        <v>12.721865008488599</v>
      </c>
      <c r="M203" s="27">
        <f>HYPERLINK("[N&amp;P New retention.xlsx]'Coastal N Reductions'!D52", 12.6987120676469)</f>
        <v>12.6987120676469</v>
      </c>
      <c r="N203" s="27">
        <f>HYPERLINK("[N&amp;P with New retention and Differentiation.xlsx]'Coastal N Reductions'!D52", 12.6990476295083)</f>
        <v>12.6990476295083</v>
      </c>
    </row>
    <row r="204" spans="1:14" x14ac:dyDescent="0.55000000000000004">
      <c r="A204" s="31">
        <v>204</v>
      </c>
      <c r="B204" s="5" t="s">
        <v>241</v>
      </c>
      <c r="C204" s="28">
        <f>HYPERLINK("[N&amp;P Old retention.xlsx]'Coastal N Reductions'!C53", 19172666.7512646)</f>
        <v>19172666.751264598</v>
      </c>
      <c r="D204" s="28">
        <f>HYPERLINK("[N&amp;P New retention.xlsx]'Coastal N Reductions'!C53", 23993047.0142329)</f>
        <v>23993047.0142329</v>
      </c>
      <c r="E204" s="28">
        <f>HYPERLINK("[N&amp;P with New retention and Differentiation.xlsx]'Coastal N Reductions'!C53", 23398116.0084203)</f>
        <v>23398116.0084203</v>
      </c>
      <c r="F204" s="16">
        <f>D204-C204</f>
        <v>4820380.2629683018</v>
      </c>
      <c r="G204" s="17">
        <f>D204/C204-1</f>
        <v>0.25141939436517657</v>
      </c>
      <c r="H204" s="16">
        <f>E204-C204</f>
        <v>4225449.2571557015</v>
      </c>
      <c r="I204" s="17">
        <f>E204/C204-1</f>
        <v>0.2203892297286707</v>
      </c>
      <c r="J204" s="21">
        <f>E204-D204</f>
        <v>-594931.00581260026</v>
      </c>
      <c r="K204" s="22">
        <f>E204/D204-1</f>
        <v>-2.4795975494887434E-2</v>
      </c>
      <c r="L204" s="29">
        <f>HYPERLINK("[N&amp;P Old retention.xlsx]'Coastal N Reductions'!D53", 488.82081550957)</f>
        <v>488.82081550957002</v>
      </c>
      <c r="M204" s="29">
        <f>HYPERLINK("[N&amp;P New retention.xlsx]'Coastal N Reductions'!D53", 488.824584879995)</f>
        <v>488.82458487999497</v>
      </c>
      <c r="N204" s="29">
        <f>HYPERLINK("[N&amp;P with New retention and Differentiation.xlsx]'Coastal N Reductions'!D53", 488.814075140909)</f>
        <v>488.81407514090898</v>
      </c>
    </row>
    <row r="205" spans="1:14" x14ac:dyDescent="0.55000000000000004">
      <c r="A205" s="30">
        <v>205</v>
      </c>
      <c r="B205" s="6"/>
      <c r="C205" s="18"/>
      <c r="D205" s="18"/>
      <c r="E205" s="18"/>
      <c r="F205" s="13"/>
      <c r="G205" s="18"/>
      <c r="H205" s="13"/>
      <c r="I205" s="18"/>
      <c r="J205" s="13"/>
      <c r="K205" s="18"/>
      <c r="L205" s="18"/>
      <c r="M205" s="18"/>
      <c r="N205" s="18"/>
    </row>
    <row r="206" spans="1:14" x14ac:dyDescent="0.55000000000000004">
      <c r="A206" s="31">
        <v>206</v>
      </c>
      <c r="B206" s="5" t="s">
        <v>242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x14ac:dyDescent="0.55000000000000004">
      <c r="A207" s="30">
        <v>207</v>
      </c>
      <c r="B207" s="6" t="s">
        <v>243</v>
      </c>
      <c r="C207" s="26">
        <f>HYPERLINK("[N&amp;P Old retention.xlsx]'Coastal N Reductions'!C56", 4973611.60300928)</f>
        <v>4973611.6030092798</v>
      </c>
      <c r="D207" s="26">
        <f>HYPERLINK("[N&amp;P New retention.xlsx]'Coastal N Reductions'!C56", 5135633.5937941)</f>
        <v>5135633.5937941</v>
      </c>
      <c r="E207" s="26">
        <f>HYPERLINK("[N&amp;P with New retention and Differentiation.xlsx]'Coastal N Reductions'!C56", 5130920.04861943)</f>
        <v>5130920.0486194296</v>
      </c>
      <c r="F207" s="16">
        <f>D207-C207</f>
        <v>162021.99078482017</v>
      </c>
      <c r="G207" s="17">
        <f>D207/C207-1</f>
        <v>3.2576325559235286E-2</v>
      </c>
      <c r="H207" s="16">
        <f>E207-C207</f>
        <v>157308.44561014976</v>
      </c>
      <c r="I207" s="17">
        <f>E207/C207-1</f>
        <v>3.1628614810808697E-2</v>
      </c>
      <c r="J207" s="21">
        <f>E207-D207</f>
        <v>-4713.5451746704057</v>
      </c>
      <c r="K207" s="22">
        <f>E207/D207-1</f>
        <v>-9.178118120354295E-4</v>
      </c>
      <c r="L207" s="27">
        <f>HYPERLINK("[N&amp;P Old retention.xlsx]'Coastal N Reductions'!D56", 124.633821898501)</f>
        <v>124.633821898501</v>
      </c>
      <c r="M207" s="27">
        <f>HYPERLINK("[N&amp;P New retention.xlsx]'Coastal N Reductions'!D56", 124.635800118539)</f>
        <v>124.635800118539</v>
      </c>
      <c r="N207" s="27">
        <f>HYPERLINK("[N&amp;P with New retention and Differentiation.xlsx]'Coastal N Reductions'!D56", 124.641678592357)</f>
        <v>124.641678592357</v>
      </c>
    </row>
    <row r="208" spans="1:14" x14ac:dyDescent="0.55000000000000004">
      <c r="A208" s="31">
        <v>208</v>
      </c>
      <c r="B208" s="5" t="s">
        <v>244</v>
      </c>
      <c r="C208" s="28">
        <f>HYPERLINK("[N&amp;P Old retention.xlsx]'Coastal N Reductions'!C57", 290.8)</f>
        <v>290.8</v>
      </c>
      <c r="D208" s="28">
        <f>HYPERLINK("[N&amp;P New retention.xlsx]'Coastal N Reductions'!C57", 290.8)</f>
        <v>290.8</v>
      </c>
      <c r="E208" s="28">
        <f>HYPERLINK("[N&amp;P with New retention and Differentiation.xlsx]'Coastal N Reductions'!C57", 290.8)</f>
        <v>290.8</v>
      </c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x14ac:dyDescent="0.55000000000000004">
      <c r="A209" s="30">
        <v>209</v>
      </c>
      <c r="B209" s="6" t="s">
        <v>245</v>
      </c>
      <c r="C209" s="26">
        <f>HYPERLINK("[N&amp;P Old retention.xlsx]'Coastal N Reductions'!C58", 21610824.4787094)</f>
        <v>21610824.4787094</v>
      </c>
      <c r="D209" s="26">
        <f>HYPERLINK("[N&amp;P New retention.xlsx]'Coastal N Reductions'!C58", 25071673.503156)</f>
        <v>25071673.503155999</v>
      </c>
      <c r="E209" s="26">
        <f>HYPERLINK("[N&amp;P with New retention and Differentiation.xlsx]'Coastal N Reductions'!C58", 24941904.9654191)</f>
        <v>24941904.965419099</v>
      </c>
      <c r="F209" s="16">
        <f>D209-C209</f>
        <v>3460849.0244465992</v>
      </c>
      <c r="G209" s="17">
        <f>D209/C209-1</f>
        <v>0.16014423826615998</v>
      </c>
      <c r="H209" s="16">
        <f>E209-C209</f>
        <v>3331080.486709699</v>
      </c>
      <c r="I209" s="17">
        <f>E209/C209-1</f>
        <v>0.15413944479496466</v>
      </c>
      <c r="J209" s="21">
        <f>E209-D209</f>
        <v>-129768.53773690015</v>
      </c>
      <c r="K209" s="22">
        <f>E209/D209-1</f>
        <v>-5.1759025068894848E-3</v>
      </c>
      <c r="L209" s="27">
        <f>HYPERLINK("[N&amp;P Old retention.xlsx]'Coastal N Reductions'!D58", 278.99804867208)</f>
        <v>278.99804867208002</v>
      </c>
      <c r="M209" s="27">
        <f>HYPERLINK("[N&amp;P New retention.xlsx]'Coastal N Reductions'!D58", 279.007881325907)</f>
        <v>279.00788132590702</v>
      </c>
      <c r="N209" s="27">
        <f>HYPERLINK("[N&amp;P with New retention and Differentiation.xlsx]'Coastal N Reductions'!D58", 279.005796825469)</f>
        <v>279.00579682546902</v>
      </c>
    </row>
    <row r="210" spans="1:14" x14ac:dyDescent="0.55000000000000004">
      <c r="A210" s="31">
        <v>212</v>
      </c>
      <c r="B210" s="5" t="s">
        <v>246</v>
      </c>
      <c r="C210" s="28">
        <f>HYPERLINK("[N&amp;P Old retention.xlsx]'Coastal N Reductions'!C59", 339046.052643222)</f>
        <v>339046.05264322198</v>
      </c>
      <c r="D210" s="28">
        <f>HYPERLINK("[N&amp;P New retention.xlsx]'Coastal N Reductions'!C59", 268657.753510604)</f>
        <v>268657.75351060397</v>
      </c>
      <c r="E210" s="28">
        <f>HYPERLINK("[N&amp;P with New retention and Differentiation.xlsx]'Coastal N Reductions'!C59", 268657.753510604)</f>
        <v>268657.75351060397</v>
      </c>
      <c r="F210" s="21">
        <f>D210-C210</f>
        <v>-70388.299132618005</v>
      </c>
      <c r="G210" s="22">
        <f>D210/C210-1</f>
        <v>-0.20760689759950568</v>
      </c>
      <c r="H210" s="21">
        <f>E210-C210</f>
        <v>-70388.299132618005</v>
      </c>
      <c r="I210" s="22">
        <f>E210/C210-1</f>
        <v>-0.20760689759950568</v>
      </c>
      <c r="J210" s="13"/>
      <c r="K210" s="13"/>
      <c r="L210" s="29">
        <f>HYPERLINK("[N&amp;P Old retention.xlsx]'Coastal N Reductions'!D59", 7.46546991889446)</f>
        <v>7.4654699188944598</v>
      </c>
      <c r="M210" s="29">
        <f>HYPERLINK("[N&amp;P New retention.xlsx]'Coastal N Reductions'!D59", 7.46497664615922)</f>
        <v>7.4649766461592204</v>
      </c>
      <c r="N210" s="29">
        <f>HYPERLINK("[N&amp;P with New retention and Differentiation.xlsx]'Coastal N Reductions'!D59", 7.46497664615922)</f>
        <v>7.4649766461592204</v>
      </c>
    </row>
    <row r="211" spans="1:14" x14ac:dyDescent="0.55000000000000004">
      <c r="A211" s="30">
        <v>214</v>
      </c>
      <c r="B211" s="6" t="s">
        <v>247</v>
      </c>
      <c r="C211" s="26">
        <f>HYPERLINK("[N&amp;P Old retention.xlsx]'Coastal N Reductions'!C60", 13266556.0885334)</f>
        <v>13266556.0885334</v>
      </c>
      <c r="D211" s="26">
        <f>HYPERLINK("[N&amp;P New retention.xlsx]'Coastal N Reductions'!C60", 13165501.9902165)</f>
        <v>13165501.990216499</v>
      </c>
      <c r="E211" s="26">
        <f>HYPERLINK("[N&amp;P with New retention and Differentiation.xlsx]'Coastal N Reductions'!C60", 13153420.9416557)</f>
        <v>13153420.941655699</v>
      </c>
      <c r="F211" s="21">
        <f>D211-C211</f>
        <v>-101054.09831690043</v>
      </c>
      <c r="G211" s="22">
        <f>D211/C211-1</f>
        <v>-7.6172065788983057E-3</v>
      </c>
      <c r="H211" s="21">
        <f>E211-C211</f>
        <v>-113135.14687770046</v>
      </c>
      <c r="I211" s="22">
        <f>E211/C211-1</f>
        <v>-8.5278459701749743E-3</v>
      </c>
      <c r="J211" s="21">
        <f>E211-D211</f>
        <v>-12081.048560800031</v>
      </c>
      <c r="K211" s="22">
        <f>E211/D211-1</f>
        <v>-9.1762916216775459E-4</v>
      </c>
      <c r="L211" s="27">
        <f>HYPERLINK("[N&amp;P Old retention.xlsx]'Coastal N Reductions'!D60", 164.308813559393)</f>
        <v>164.308813559393</v>
      </c>
      <c r="M211" s="27">
        <f>HYPERLINK("[N&amp;P New retention.xlsx]'Coastal N Reductions'!D60", 164.315838679735)</f>
        <v>164.31583867973501</v>
      </c>
      <c r="N211" s="27">
        <f>HYPERLINK("[N&amp;P with New retention and Differentiation.xlsx]'Coastal N Reductions'!D60", 164.336048851667)</f>
        <v>164.33604885166699</v>
      </c>
    </row>
    <row r="212" spans="1:14" x14ac:dyDescent="0.55000000000000004">
      <c r="A212" s="31">
        <v>216</v>
      </c>
      <c r="B212" s="5" t="s">
        <v>248</v>
      </c>
      <c r="C212" s="28">
        <f>HYPERLINK("[N&amp;P Old retention.xlsx]'Coastal N Reductions'!C61", 2972522.08897388)</f>
        <v>2972522.0889738798</v>
      </c>
      <c r="D212" s="28">
        <f>HYPERLINK("[N&amp;P New retention.xlsx]'Coastal N Reductions'!C61", 2968001.87134103)</f>
        <v>2968001.8713410301</v>
      </c>
      <c r="E212" s="28">
        <f>HYPERLINK("[N&amp;P with New retention and Differentiation.xlsx]'Coastal N Reductions'!C61", 2967648.47438253)</f>
        <v>2967648.47438253</v>
      </c>
      <c r="F212" s="21">
        <f>D212-C212</f>
        <v>-4520.2176328497007</v>
      </c>
      <c r="G212" s="22">
        <f>D212/C212-1</f>
        <v>-1.5206674660608321E-3</v>
      </c>
      <c r="H212" s="21">
        <f>E212-C212</f>
        <v>-4873.6145913498476</v>
      </c>
      <c r="I212" s="22">
        <f>E212/C212-1</f>
        <v>-1.6395553827599496E-3</v>
      </c>
      <c r="J212" s="21">
        <f>E212-D212</f>
        <v>-353.39695850014687</v>
      </c>
      <c r="K212" s="22">
        <f>E212/D212-1</f>
        <v>-1.1906898102476138E-4</v>
      </c>
      <c r="L212" s="29">
        <f>HYPERLINK("[N&amp;P Old retention.xlsx]'Coastal N Reductions'!D61", 13.3848896684966)</f>
        <v>13.3848896684966</v>
      </c>
      <c r="M212" s="29">
        <f>HYPERLINK("[N&amp;P New retention.xlsx]'Coastal N Reductions'!D61", 7.18132012474616)</f>
        <v>7.1813201247461604</v>
      </c>
      <c r="N212" s="29">
        <f>HYPERLINK("[N&amp;P with New retention and Differentiation.xlsx]'Coastal N Reductions'!D61", 7.35736929709361)</f>
        <v>7.3573692970936104</v>
      </c>
    </row>
    <row r="213" spans="1:14" x14ac:dyDescent="0.55000000000000004">
      <c r="A213" s="30">
        <v>217</v>
      </c>
      <c r="B213" s="6" t="s">
        <v>249</v>
      </c>
      <c r="C213" s="26">
        <f>HYPERLINK("[N&amp;P Old retention.xlsx]'Coastal N Reductions'!C62", 5873969.54526473)</f>
        <v>5873969.5452647302</v>
      </c>
      <c r="D213" s="26">
        <f>HYPERLINK("[N&amp;P New retention.xlsx]'Coastal N Reductions'!C62", 6680711.59209961)</f>
        <v>6680711.5920996098</v>
      </c>
      <c r="E213" s="26">
        <f>HYPERLINK("[N&amp;P with New retention and Differentiation.xlsx]'Coastal N Reductions'!C62", 6677518.91049501)</f>
        <v>6677518.9104950102</v>
      </c>
      <c r="F213" s="16">
        <f>D213-C213</f>
        <v>806742.04683487955</v>
      </c>
      <c r="G213" s="17">
        <f>D213/C213-1</f>
        <v>0.13734188449874241</v>
      </c>
      <c r="H213" s="16">
        <f>E213-C213</f>
        <v>803549.36523027997</v>
      </c>
      <c r="I213" s="17">
        <f>E213/C213-1</f>
        <v>0.13679835399862728</v>
      </c>
      <c r="J213" s="21">
        <f>E213-D213</f>
        <v>-3192.6816045995802</v>
      </c>
      <c r="K213" s="22">
        <f>E213/D213-1</f>
        <v>-4.7789543981735516E-4</v>
      </c>
      <c r="L213" s="27">
        <f>HYPERLINK("[N&amp;P Old retention.xlsx]'Coastal N Reductions'!D62", 97.4194852594249)</f>
        <v>97.419485259424903</v>
      </c>
      <c r="M213" s="27">
        <f>HYPERLINK("[N&amp;P New retention.xlsx]'Coastal N Reductions'!D62", 97.4035021969256)</f>
        <v>97.403502196925601</v>
      </c>
      <c r="N213" s="27">
        <f>HYPERLINK("[N&amp;P with New retention and Differentiation.xlsx]'Coastal N Reductions'!D62", 97.3801955876332)</f>
        <v>97.380195587633196</v>
      </c>
    </row>
    <row r="214" spans="1:14" x14ac:dyDescent="0.55000000000000004">
      <c r="A214" s="31">
        <v>219</v>
      </c>
      <c r="B214" s="5" t="s">
        <v>250</v>
      </c>
      <c r="C214" s="28">
        <f>HYPERLINK("[N&amp;P Old retention.xlsx]'Coastal N Reductions'!C63", 1147144.54019082)</f>
        <v>1147144.5401908199</v>
      </c>
      <c r="D214" s="28">
        <f>HYPERLINK("[N&amp;P New retention.xlsx]'Coastal N Reductions'!C63", 1213475.25345709)</f>
        <v>1213475.2534570899</v>
      </c>
      <c r="E214" s="28">
        <f>HYPERLINK("[N&amp;P with New retention and Differentiation.xlsx]'Coastal N Reductions'!C63", 1208206.02642039)</f>
        <v>1208206.02642039</v>
      </c>
      <c r="F214" s="16">
        <f>D214-C214</f>
        <v>66330.713266270002</v>
      </c>
      <c r="G214" s="17">
        <f>D214/C214-1</f>
        <v>5.7822454749456798E-2</v>
      </c>
      <c r="H214" s="16">
        <f>E214-C214</f>
        <v>61061.486229570117</v>
      </c>
      <c r="I214" s="17">
        <f>E214/C214-1</f>
        <v>5.3229112888784735E-2</v>
      </c>
      <c r="J214" s="21">
        <f>E214-D214</f>
        <v>-5269.2270366998855</v>
      </c>
      <c r="K214" s="22">
        <f>E214/D214-1</f>
        <v>-4.3422616338391062E-3</v>
      </c>
      <c r="L214" s="29">
        <f>HYPERLINK("[N&amp;P Old retention.xlsx]'Coastal N Reductions'!D63", 54.9917093311977)</f>
        <v>54.991709331197697</v>
      </c>
      <c r="M214" s="29">
        <f>HYPERLINK("[N&amp;P New retention.xlsx]'Coastal N Reductions'!D63", 54.82645672745)</f>
        <v>54.826456727450001</v>
      </c>
      <c r="N214" s="29">
        <f>HYPERLINK("[N&amp;P with New retention and Differentiation.xlsx]'Coastal N Reductions'!D63", 55.081878143714)</f>
        <v>55.081878143714</v>
      </c>
    </row>
    <row r="215" spans="1:14" x14ac:dyDescent="0.55000000000000004">
      <c r="A215" s="30">
        <v>221</v>
      </c>
      <c r="B215" s="6" t="s">
        <v>251</v>
      </c>
      <c r="C215" s="18"/>
      <c r="D215" s="18"/>
      <c r="E215" s="18"/>
      <c r="F215" s="13"/>
      <c r="G215" s="18"/>
      <c r="H215" s="13"/>
      <c r="I215" s="18"/>
      <c r="J215" s="13"/>
      <c r="K215" s="18"/>
      <c r="L215" s="18"/>
      <c r="M215" s="18"/>
      <c r="N215" s="18"/>
    </row>
    <row r="216" spans="1:14" x14ac:dyDescent="0.55000000000000004">
      <c r="A216" s="31">
        <v>222</v>
      </c>
      <c r="B216" s="5" t="s">
        <v>252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x14ac:dyDescent="0.55000000000000004">
      <c r="A217" s="30">
        <v>224</v>
      </c>
      <c r="B217" s="6" t="s">
        <v>253</v>
      </c>
      <c r="C217" s="26">
        <f>HYPERLINK("[N&amp;P Old retention.xlsx]'Coastal N Reductions'!C66", 1685243.16577905)</f>
        <v>1685243.16577905</v>
      </c>
      <c r="D217" s="26">
        <f>HYPERLINK("[N&amp;P New retention.xlsx]'Coastal N Reductions'!C66", 1817939.47907932)</f>
        <v>1817939.4790793201</v>
      </c>
      <c r="E217" s="26">
        <f>HYPERLINK("[N&amp;P with New retention and Differentiation.xlsx]'Coastal N Reductions'!C66", 1819831.22181266)</f>
        <v>1819831.2218126601</v>
      </c>
      <c r="F217" s="16">
        <f>D217-C217</f>
        <v>132696.31330027012</v>
      </c>
      <c r="G217" s="17">
        <f>D217/C217-1</f>
        <v>7.8740158093996815E-2</v>
      </c>
      <c r="H217" s="16">
        <f>E217-C217</f>
        <v>134588.05603361013</v>
      </c>
      <c r="I217" s="17">
        <f>E217/C217-1</f>
        <v>7.9862692083010556E-2</v>
      </c>
      <c r="J217" s="16">
        <f>E217-D217</f>
        <v>1891.7427333400119</v>
      </c>
      <c r="K217" s="17">
        <f>E217/D217-1</f>
        <v>1.0405972009024378E-3</v>
      </c>
      <c r="L217" s="27">
        <f>HYPERLINK("[N&amp;P Old retention.xlsx]'Coastal N Reductions'!D66", 116.462935844253)</f>
        <v>116.462935844253</v>
      </c>
      <c r="M217" s="27">
        <f>HYPERLINK("[N&amp;P New retention.xlsx]'Coastal N Reductions'!D66", 116.440427233645)</f>
        <v>116.440427233645</v>
      </c>
      <c r="N217" s="27">
        <f>HYPERLINK("[N&amp;P with New retention and Differentiation.xlsx]'Coastal N Reductions'!D66", 116.512052175873)</f>
        <v>116.512052175873</v>
      </c>
    </row>
    <row r="218" spans="1:14" x14ac:dyDescent="0.55000000000000004">
      <c r="A218" s="31">
        <v>225</v>
      </c>
      <c r="B218" s="5" t="s">
        <v>254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x14ac:dyDescent="0.55000000000000004">
      <c r="A219" s="30">
        <v>231</v>
      </c>
      <c r="B219" s="6" t="s">
        <v>255</v>
      </c>
      <c r="C219" s="26">
        <f>HYPERLINK("[N&amp;P Old retention.xlsx]'Coastal N Reductions'!C68", 3061783.38294969)</f>
        <v>3061783.3829496899</v>
      </c>
      <c r="D219" s="26">
        <f>HYPERLINK("[N&amp;P New retention.xlsx]'Coastal N Reductions'!C68", 4004726.81619011)</f>
        <v>4004726.8161901101</v>
      </c>
      <c r="E219" s="26">
        <f>HYPERLINK("[N&amp;P with New retention and Differentiation.xlsx]'Coastal N Reductions'!C68", 4003877.89307392)</f>
        <v>4003877.8930739202</v>
      </c>
      <c r="F219" s="16">
        <f>D219-C219</f>
        <v>942943.43324042019</v>
      </c>
      <c r="G219" s="17">
        <f>D219/C219-1</f>
        <v>0.30797196120778425</v>
      </c>
      <c r="H219" s="16">
        <f>E219-C219</f>
        <v>942094.51012423029</v>
      </c>
      <c r="I219" s="17">
        <f>E219/C219-1</f>
        <v>0.30769469694378793</v>
      </c>
      <c r="J219" s="21">
        <f>E219-D219</f>
        <v>-848.92311618989334</v>
      </c>
      <c r="K219" s="22">
        <f>E219/D219-1</f>
        <v>-2.1198028109126188E-4</v>
      </c>
      <c r="L219" s="27">
        <f>HYPERLINK("[N&amp;P Old retention.xlsx]'Coastal N Reductions'!D68", 29.7678825947879)</f>
        <v>29.767882594787899</v>
      </c>
      <c r="M219" s="27">
        <f>HYPERLINK("[N&amp;P New retention.xlsx]'Coastal N Reductions'!D68", 29.7692509913808)</f>
        <v>29.769250991380801</v>
      </c>
      <c r="N219" s="27">
        <f>HYPERLINK("[N&amp;P with New retention and Differentiation.xlsx]'Coastal N Reductions'!D68", 29.7688080278147)</f>
        <v>29.7688080278147</v>
      </c>
    </row>
    <row r="220" spans="1:14" x14ac:dyDescent="0.55000000000000004">
      <c r="A220" s="31">
        <v>232</v>
      </c>
      <c r="B220" s="5" t="s">
        <v>256</v>
      </c>
      <c r="C220" s="28">
        <f>HYPERLINK("[N&amp;P Old retention.xlsx]'Coastal N Reductions'!C69", 41046369.6546169)</f>
        <v>41046369.6546169</v>
      </c>
      <c r="D220" s="28">
        <f>HYPERLINK("[N&amp;P New retention.xlsx]'Coastal N Reductions'!C69", 41046369.6546169)</f>
        <v>41046369.6546169</v>
      </c>
      <c r="E220" s="28">
        <f>HYPERLINK("[N&amp;P with New retention and Differentiation.xlsx]'Coastal N Reductions'!C69", 41046369.6546169)</f>
        <v>41046369.6546169</v>
      </c>
      <c r="F220" s="13"/>
      <c r="G220" s="13"/>
      <c r="H220" s="13"/>
      <c r="I220" s="13"/>
      <c r="J220" s="13"/>
      <c r="K220" s="13"/>
      <c r="L220" s="29">
        <f>HYPERLINK("[N&amp;P Old retention.xlsx]'Coastal N Reductions'!D69", 270.405300033656)</f>
        <v>270.40530003365598</v>
      </c>
      <c r="M220" s="29">
        <f>HYPERLINK("[N&amp;P New retention.xlsx]'Coastal N Reductions'!D69", 284.414821319247)</f>
        <v>284.41482131924698</v>
      </c>
      <c r="N220" s="29">
        <f>HYPERLINK("[N&amp;P with New retention and Differentiation.xlsx]'Coastal N Reductions'!D69", 283.187991045237)</f>
        <v>283.18799104523703</v>
      </c>
    </row>
    <row r="221" spans="1:14" x14ac:dyDescent="0.55000000000000004">
      <c r="A221" s="30">
        <v>233</v>
      </c>
      <c r="B221" s="6" t="s">
        <v>257</v>
      </c>
      <c r="C221" s="26">
        <f>HYPERLINK("[N&amp;P Old retention.xlsx]'Coastal N Reductions'!C70", 17150192.3644424)</f>
        <v>17150192.364442401</v>
      </c>
      <c r="D221" s="26">
        <f>HYPERLINK("[N&amp;P New retention.xlsx]'Coastal N Reductions'!C70", 18445379.4577733)</f>
        <v>18445379.457773302</v>
      </c>
      <c r="E221" s="26">
        <f>HYPERLINK("[N&amp;P with New retention and Differentiation.xlsx]'Coastal N Reductions'!C70", 18540363.5074986)</f>
        <v>18540363.5074986</v>
      </c>
      <c r="F221" s="16">
        <f>D221-C221</f>
        <v>1295187.0933309011</v>
      </c>
      <c r="G221" s="17">
        <f>D221/C221-1</f>
        <v>7.552026623422714E-2</v>
      </c>
      <c r="H221" s="16">
        <f>E221-C221</f>
        <v>1390171.143056199</v>
      </c>
      <c r="I221" s="17">
        <f>E221/C221-1</f>
        <v>8.1058632668077113E-2</v>
      </c>
      <c r="J221" s="16">
        <f>E221-D221</f>
        <v>94984.049725297838</v>
      </c>
      <c r="K221" s="17">
        <f>E221/D221-1</f>
        <v>5.1494765907496021E-3</v>
      </c>
      <c r="L221" s="27">
        <f>HYPERLINK("[N&amp;P Old retention.xlsx]'Coastal N Reductions'!D70", 311.616073529937)</f>
        <v>311.61607352993701</v>
      </c>
      <c r="M221" s="27">
        <f>HYPERLINK("[N&amp;P New retention.xlsx]'Coastal N Reductions'!D70", 310.715964562087)</f>
        <v>310.71596456208698</v>
      </c>
      <c r="N221" s="27">
        <f>HYPERLINK("[N&amp;P with New retention and Differentiation.xlsx]'Coastal N Reductions'!D70", 311.653172999316)</f>
        <v>311.65317299931598</v>
      </c>
    </row>
    <row r="222" spans="1:14" x14ac:dyDescent="0.55000000000000004">
      <c r="A222" s="31">
        <v>234</v>
      </c>
      <c r="B222" s="5" t="s">
        <v>258</v>
      </c>
      <c r="C222" s="28">
        <f>HYPERLINK("[N&amp;P Old retention.xlsx]'Coastal N Reductions'!C71", 4054869.6206492)</f>
        <v>4054869.6206491999</v>
      </c>
      <c r="D222" s="28">
        <f>HYPERLINK("[N&amp;P New retention.xlsx]'Coastal N Reductions'!C71", 2230667.74912447)</f>
        <v>2230667.7491244702</v>
      </c>
      <c r="E222" s="28">
        <f>HYPERLINK("[N&amp;P with New retention and Differentiation.xlsx]'Coastal N Reductions'!C71", 2237711.50535517)</f>
        <v>2237711.50535517</v>
      </c>
      <c r="F222" s="21">
        <f>D222-C222</f>
        <v>-1824201.8715247298</v>
      </c>
      <c r="G222" s="22">
        <f>D222/C222-1</f>
        <v>-0.44987929136736782</v>
      </c>
      <c r="H222" s="21">
        <f>E222-C222</f>
        <v>-1817158.1152940299</v>
      </c>
      <c r="I222" s="22">
        <f>E222/C222-1</f>
        <v>-0.44814218095700353</v>
      </c>
      <c r="J222" s="16">
        <f>E222-D222</f>
        <v>7043.7562306998298</v>
      </c>
      <c r="K222" s="17">
        <f>E222/D222-1</f>
        <v>3.1576895454128451E-3</v>
      </c>
      <c r="L222" s="29">
        <f>HYPERLINK("[N&amp;P Old retention.xlsx]'Coastal N Reductions'!D71", 212.14163719803)</f>
        <v>212.14163719803</v>
      </c>
      <c r="M222" s="29">
        <f>HYPERLINK("[N&amp;P New retention.xlsx]'Coastal N Reductions'!D71", 211.763642909643)</f>
        <v>211.76364290964301</v>
      </c>
      <c r="N222" s="29">
        <f>HYPERLINK("[N&amp;P with New retention and Differentiation.xlsx]'Coastal N Reductions'!D71", 212.163850022435)</f>
        <v>212.16385002243501</v>
      </c>
    </row>
    <row r="223" spans="1:14" x14ac:dyDescent="0.55000000000000004">
      <c r="A223" s="30">
        <v>235</v>
      </c>
      <c r="B223" s="6" t="s">
        <v>259</v>
      </c>
      <c r="C223" s="26">
        <f>HYPERLINK("[N&amp;P Old retention.xlsx]'Coastal N Reductions'!C72", 353932.786610678)</f>
        <v>353932.78661067801</v>
      </c>
      <c r="D223" s="26">
        <f>HYPERLINK("[N&amp;P New retention.xlsx]'Coastal N Reductions'!C72", 353932.786610678)</f>
        <v>353932.78661067801</v>
      </c>
      <c r="E223" s="26">
        <f>HYPERLINK("[N&amp;P with New retention and Differentiation.xlsx]'Coastal N Reductions'!C72", 353932.786610678)</f>
        <v>353932.78661067801</v>
      </c>
      <c r="F223" s="13"/>
      <c r="G223" s="18"/>
      <c r="H223" s="13"/>
      <c r="I223" s="18"/>
      <c r="J223" s="13"/>
      <c r="K223" s="18"/>
      <c r="L223" s="27">
        <f>HYPERLINK("[N&amp;P Old retention.xlsx]'Coastal N Reductions'!D72", 1.5202010509)</f>
        <v>1.5202010508999999</v>
      </c>
      <c r="M223" s="27">
        <f>HYPERLINK("[N&amp;P New retention.xlsx]'Coastal N Reductions'!D72", 2.55865023619129)</f>
        <v>2.5586502361912902</v>
      </c>
      <c r="N223" s="27">
        <f>HYPERLINK("[N&amp;P with New retention and Differentiation.xlsx]'Coastal N Reductions'!D72", 2.56202785335264)</f>
        <v>2.5620278533526402</v>
      </c>
    </row>
    <row r="224" spans="1:14" x14ac:dyDescent="0.55000000000000004">
      <c r="A224" s="31">
        <v>236</v>
      </c>
      <c r="B224" s="5" t="s">
        <v>260</v>
      </c>
      <c r="C224" s="28">
        <f>HYPERLINK("[N&amp;P Old retention.xlsx]'Coastal N Reductions'!C73", 16084474.9177696)</f>
        <v>16084474.9177696</v>
      </c>
      <c r="D224" s="28">
        <f>HYPERLINK("[N&amp;P New retention.xlsx]'Coastal N Reductions'!C73", 13175955.1740855)</f>
        <v>13175955.1740855</v>
      </c>
      <c r="E224" s="28">
        <f>HYPERLINK("[N&amp;P with New retention and Differentiation.xlsx]'Coastal N Reductions'!C73", 14440306.4582406)</f>
        <v>14440306.4582406</v>
      </c>
      <c r="F224" s="21">
        <f>D224-C224</f>
        <v>-2908519.7436841</v>
      </c>
      <c r="G224" s="22">
        <f>D224/C224-1</f>
        <v>-0.18082777078851753</v>
      </c>
      <c r="H224" s="21">
        <f>E224-C224</f>
        <v>-1644168.4595289994</v>
      </c>
      <c r="I224" s="22">
        <f>E224/C224-1</f>
        <v>-0.10222083518017588</v>
      </c>
      <c r="J224" s="16">
        <f>E224-D224</f>
        <v>1264351.2841551006</v>
      </c>
      <c r="K224" s="17">
        <f>E224/D224-1</f>
        <v>9.5958984942649872E-2</v>
      </c>
      <c r="L224" s="29">
        <f>HYPERLINK("[N&amp;P Old retention.xlsx]'Coastal N Reductions'!D73", 522.825404643435)</f>
        <v>522.82540464343504</v>
      </c>
      <c r="M224" s="29">
        <f>HYPERLINK("[N&amp;P New retention.xlsx]'Coastal N Reductions'!D73", 522.798052841552)</f>
        <v>522.79805284155202</v>
      </c>
      <c r="N224" s="29">
        <f>HYPERLINK("[N&amp;P with New retention and Differentiation.xlsx]'Coastal N Reductions'!D73", 522.803021103601)</f>
        <v>522.80302110360105</v>
      </c>
    </row>
    <row r="225" spans="1:14" x14ac:dyDescent="0.55000000000000004">
      <c r="A225" s="30">
        <v>238</v>
      </c>
      <c r="B225" s="6" t="s">
        <v>261</v>
      </c>
      <c r="C225" s="26">
        <f>HYPERLINK("[N&amp;P Old retention.xlsx]'Coastal N Reductions'!C74", 6820871.77483577)</f>
        <v>6820871.77483577</v>
      </c>
      <c r="D225" s="26">
        <f>HYPERLINK("[N&amp;P New retention.xlsx]'Coastal N Reductions'!C74", 5813188.65719913)</f>
        <v>5813188.6571991304</v>
      </c>
      <c r="E225" s="26">
        <f>HYPERLINK("[N&amp;P with New retention and Differentiation.xlsx]'Coastal N Reductions'!C74", 5808129.32823173)</f>
        <v>5808129.3282317296</v>
      </c>
      <c r="F225" s="21">
        <f>D225-C225</f>
        <v>-1007683.1176366396</v>
      </c>
      <c r="G225" s="22">
        <f>D225/C225-1</f>
        <v>-0.14773523838320535</v>
      </c>
      <c r="H225" s="21">
        <f>E225-C225</f>
        <v>-1012742.4466040405</v>
      </c>
      <c r="I225" s="22">
        <f>E225/C225-1</f>
        <v>-0.14847698066108639</v>
      </c>
      <c r="J225" s="21">
        <f>E225-D225</f>
        <v>-5059.3289674008265</v>
      </c>
      <c r="K225" s="22">
        <f>E225/D225-1</f>
        <v>-8.7031907370416217E-4</v>
      </c>
      <c r="L225" s="27">
        <f>HYPERLINK("[N&amp;P Old retention.xlsx]'Coastal N Reductions'!D74", 237.28194371415)</f>
        <v>237.28194371415</v>
      </c>
      <c r="M225" s="27">
        <f>HYPERLINK("[N&amp;P New retention.xlsx]'Coastal N Reductions'!D74", 237.377213614826)</f>
        <v>237.37721361482599</v>
      </c>
      <c r="N225" s="27">
        <f>HYPERLINK("[N&amp;P with New retention and Differentiation.xlsx]'Coastal N Reductions'!D74", 237.281415827313)</f>
        <v>237.281415827313</v>
      </c>
    </row>
    <row r="226" spans="1:14" x14ac:dyDescent="0.55000000000000004">
      <c r="A226" s="23"/>
      <c r="B226" s="24" t="s">
        <v>264</v>
      </c>
      <c r="C226" s="25">
        <v>743452134.11259496</v>
      </c>
      <c r="D226" s="25">
        <v>739875256.81329405</v>
      </c>
      <c r="E226" s="25">
        <v>741528889.13573098</v>
      </c>
      <c r="F226" s="32">
        <f>D226-C226</f>
        <v>-3576877.299300909</v>
      </c>
      <c r="G226" s="33">
        <f>D226/C226-1</f>
        <v>-4.8111736252803849E-3</v>
      </c>
      <c r="H226" s="32">
        <f>E226-C226</f>
        <v>-1923244.9768639803</v>
      </c>
      <c r="I226" s="33">
        <f>E226/C226-1</f>
        <v>-2.5869116364292122E-3</v>
      </c>
      <c r="J226" s="32">
        <f>E226-D226</f>
        <v>1653632.3224369287</v>
      </c>
      <c r="K226" s="33">
        <f>E226/D226-1</f>
        <v>2.2350150342360653E-3</v>
      </c>
      <c r="L226" s="34">
        <v>14046.6958946388</v>
      </c>
      <c r="M226" s="34">
        <v>14033.890823867099</v>
      </c>
      <c r="N226" s="34">
        <v>14038.763501929199</v>
      </c>
    </row>
    <row r="229" spans="1:14" ht="18" customHeight="1" x14ac:dyDescent="0.55000000000000004">
      <c r="A229" s="62" t="s">
        <v>265</v>
      </c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ht="31.5" customHeight="1" x14ac:dyDescent="0.55000000000000004">
      <c r="A230" s="1" t="s">
        <v>140</v>
      </c>
      <c r="B230" s="1" t="s">
        <v>141</v>
      </c>
      <c r="C230" s="1" t="s">
        <v>142</v>
      </c>
      <c r="D230" s="1" t="s">
        <v>143</v>
      </c>
      <c r="E230" s="1" t="s">
        <v>144</v>
      </c>
      <c r="F230" s="1" t="s">
        <v>145</v>
      </c>
      <c r="G230" s="1" t="s">
        <v>146</v>
      </c>
      <c r="H230" s="1" t="s">
        <v>147</v>
      </c>
      <c r="I230" s="1" t="s">
        <v>148</v>
      </c>
      <c r="J230" s="1" t="s">
        <v>149</v>
      </c>
      <c r="K230" s="1" t="s">
        <v>150</v>
      </c>
      <c r="L230" s="1" t="s">
        <v>151</v>
      </c>
      <c r="M230" s="1" t="s">
        <v>152</v>
      </c>
      <c r="N230" s="1" t="s">
        <v>153</v>
      </c>
    </row>
    <row r="231" spans="1:14" x14ac:dyDescent="0.55000000000000004">
      <c r="A231" s="30">
        <v>1</v>
      </c>
      <c r="B231" s="6" t="s">
        <v>154</v>
      </c>
      <c r="C231" s="26">
        <f>HYPERLINK("[P Only Old retention.xlsx]'Coastal N Reductions'!C2", 10662078.2210789)</f>
        <v>10662078.221078901</v>
      </c>
      <c r="D231" s="26">
        <f>HYPERLINK("[P Only New retention.xlsx]'Coastal N Reductions'!C2", 10662078.2210789)</f>
        <v>10662078.221078901</v>
      </c>
      <c r="E231" s="26">
        <f>HYPERLINK("[P Only with New retention and Differentiation.xlsx]'Coastal N Reductions'!C2", 10662078.2210789)</f>
        <v>10662078.221078901</v>
      </c>
      <c r="F231" s="13"/>
      <c r="G231" s="18"/>
      <c r="H231" s="13"/>
      <c r="I231" s="18"/>
      <c r="J231" s="13"/>
      <c r="K231" s="18"/>
      <c r="L231" s="27">
        <f>HYPERLINK("[P Only Old retention.xlsx]'Coastal N Reductions'!D2", 31.3141032434383)</f>
        <v>31.3141032434383</v>
      </c>
      <c r="M231" s="27">
        <f>HYPERLINK("[P Only New retention.xlsx]'Coastal N Reductions'!D2", 30.0993113577015)</f>
        <v>30.099311357701499</v>
      </c>
      <c r="N231" s="27">
        <f>HYPERLINK("[P Only with New retention and Differentiation.xlsx]'Coastal N Reductions'!D2", 32.2076192818848)</f>
        <v>32.207619281884803</v>
      </c>
    </row>
    <row r="232" spans="1:14" x14ac:dyDescent="0.55000000000000004">
      <c r="A232" s="31">
        <v>2</v>
      </c>
      <c r="B232" s="5" t="s">
        <v>155</v>
      </c>
      <c r="C232" s="28">
        <f>HYPERLINK("[P Only Old retention.xlsx]'Coastal N Reductions'!C50", 24837992.268004)</f>
        <v>24837992.268004</v>
      </c>
      <c r="D232" s="28">
        <f>HYPERLINK("[P Only New retention.xlsx]'Coastal N Reductions'!C50", 24791608.2673419)</f>
        <v>24791608.267341901</v>
      </c>
      <c r="E232" s="28">
        <f>HYPERLINK("[P Only with New retention and Differentiation.xlsx]'Coastal N Reductions'!C50", 24779757.4666017)</f>
        <v>24779757.4666017</v>
      </c>
      <c r="F232" s="21">
        <f>D232-C232</f>
        <v>-46384.00066209957</v>
      </c>
      <c r="G232" s="22">
        <f>D232/C232-1</f>
        <v>-1.8674617562326468E-3</v>
      </c>
      <c r="H232" s="21">
        <f>E232-C232</f>
        <v>-58234.801402300596</v>
      </c>
      <c r="I232" s="22">
        <f>E232/C232-1</f>
        <v>-2.3445856965387257E-3</v>
      </c>
      <c r="J232" s="21">
        <f>E232-D232</f>
        <v>-11850.800740201026</v>
      </c>
      <c r="K232" s="22">
        <f>E232/D232-1</f>
        <v>-4.7801661805912943E-4</v>
      </c>
      <c r="L232" s="29">
        <f>HYPERLINK("[P Only Old retention.xlsx]'Coastal N Reductions'!D50", 46.346760313904)</f>
        <v>46.346760313903999</v>
      </c>
      <c r="M232" s="29">
        <f>HYPERLINK("[P Only New retention.xlsx]'Coastal N Reductions'!D50", 50.0024951668747)</f>
        <v>50.002495166874702</v>
      </c>
      <c r="N232" s="29">
        <f>HYPERLINK("[P Only with New retention and Differentiation.xlsx]'Coastal N Reductions'!D50", 53.5255085666882)</f>
        <v>53.525508566688202</v>
      </c>
    </row>
    <row r="233" spans="1:14" x14ac:dyDescent="0.55000000000000004">
      <c r="A233" s="30">
        <v>6</v>
      </c>
      <c r="B233" s="6" t="s">
        <v>156</v>
      </c>
      <c r="C233" s="26">
        <f>HYPERLINK("[P Only Old retention.xlsx]'Coastal N Reductions'!C93", 3920980.28707612)</f>
        <v>3920980.2870761198</v>
      </c>
      <c r="D233" s="26">
        <f>HYPERLINK("[P Only New retention.xlsx]'Coastal N Reductions'!C93", 3920980.28707612)</f>
        <v>3920980.2870761198</v>
      </c>
      <c r="E233" s="26">
        <f>HYPERLINK("[P Only with New retention and Differentiation.xlsx]'Coastal N Reductions'!C93", 3920980.28707612)</f>
        <v>3920980.2870761198</v>
      </c>
      <c r="F233" s="13"/>
      <c r="G233" s="18"/>
      <c r="H233" s="13"/>
      <c r="I233" s="18"/>
      <c r="J233" s="13"/>
      <c r="K233" s="18"/>
      <c r="L233" s="27">
        <f>HYPERLINK("[P Only Old retention.xlsx]'Coastal N Reductions'!D93", 1.03977204694558)</f>
        <v>1.03977204694558</v>
      </c>
      <c r="M233" s="27">
        <f>HYPERLINK("[P Only New retention.xlsx]'Coastal N Reductions'!D93", 0.967339113989522)</f>
        <v>0.96733911398952199</v>
      </c>
      <c r="N233" s="27">
        <f>HYPERLINK("[P Only with New retention and Differentiation.xlsx]'Coastal N Reductions'!D93", 0.987426370019616)</f>
        <v>0.98742637001961597</v>
      </c>
    </row>
    <row r="234" spans="1:14" x14ac:dyDescent="0.55000000000000004">
      <c r="A234" s="31">
        <v>16</v>
      </c>
      <c r="B234" s="5" t="s">
        <v>157</v>
      </c>
      <c r="C234" s="28">
        <f>HYPERLINK("[P Only Old retention.xlsx]'Coastal N Reductions'!C45", 39728.7118151549)</f>
        <v>39728.7118151549</v>
      </c>
      <c r="D234" s="28">
        <f>HYPERLINK("[P Only New retention.xlsx]'Coastal N Reductions'!C45", 39728.7118151549)</f>
        <v>39728.7118151549</v>
      </c>
      <c r="E234" s="28">
        <f>HYPERLINK("[P Only with New retention and Differentiation.xlsx]'Coastal N Reductions'!C45", 39728.7118151549)</f>
        <v>39728.7118151549</v>
      </c>
      <c r="F234" s="13"/>
      <c r="G234" s="13"/>
      <c r="H234" s="13"/>
      <c r="I234" s="13"/>
      <c r="J234" s="13"/>
      <c r="K234" s="13"/>
      <c r="L234" s="29">
        <f>HYPERLINK("[P Only Old retention.xlsx]'Coastal N Reductions'!D45", 0.034228458)</f>
        <v>3.4228458000000003E-2</v>
      </c>
      <c r="M234" s="29">
        <f>HYPERLINK("[P Only New retention.xlsx]'Coastal N Reductions'!D45", 0.0220814445785763)</f>
        <v>2.20814445785763E-2</v>
      </c>
      <c r="N234" s="29">
        <f>HYPERLINK("[P Only with New retention and Differentiation.xlsx]'Coastal N Reductions'!D45", 0.0379047860020125)</f>
        <v>3.7904786002012497E-2</v>
      </c>
    </row>
    <row r="235" spans="1:14" x14ac:dyDescent="0.55000000000000004">
      <c r="A235" s="30">
        <v>17</v>
      </c>
      <c r="B235" s="6" t="s">
        <v>158</v>
      </c>
      <c r="C235" s="18"/>
      <c r="D235" s="18"/>
      <c r="E235" s="18"/>
      <c r="F235" s="13"/>
      <c r="G235" s="18"/>
      <c r="H235" s="13"/>
      <c r="I235" s="18"/>
      <c r="J235" s="13"/>
      <c r="K235" s="18"/>
      <c r="L235" s="18"/>
      <c r="M235" s="18"/>
      <c r="N235" s="18"/>
    </row>
    <row r="236" spans="1:14" x14ac:dyDescent="0.55000000000000004">
      <c r="A236" s="31">
        <v>18</v>
      </c>
      <c r="B236" s="5" t="s">
        <v>159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1:14" x14ac:dyDescent="0.55000000000000004">
      <c r="A237" s="30">
        <v>24</v>
      </c>
      <c r="B237" s="6" t="s">
        <v>160</v>
      </c>
      <c r="C237" s="18"/>
      <c r="D237" s="18"/>
      <c r="E237" s="18"/>
      <c r="F237" s="13"/>
      <c r="G237" s="18"/>
      <c r="H237" s="13"/>
      <c r="I237" s="18"/>
      <c r="J237" s="13"/>
      <c r="K237" s="18"/>
      <c r="L237" s="18"/>
      <c r="M237" s="18"/>
      <c r="N237" s="18"/>
    </row>
    <row r="238" spans="1:14" x14ac:dyDescent="0.55000000000000004">
      <c r="A238" s="31">
        <v>25</v>
      </c>
      <c r="B238" s="5" t="s">
        <v>161</v>
      </c>
      <c r="C238" s="28">
        <f>HYPERLINK("[P Only Old retention.xlsx]'Coastal N Reductions'!C76", 76632.5181179702)</f>
        <v>76632.518117970205</v>
      </c>
      <c r="D238" s="28">
        <f>HYPERLINK("[P Only New retention.xlsx]'Coastal N Reductions'!C76", 76632.5181179702)</f>
        <v>76632.518117970205</v>
      </c>
      <c r="E238" s="28">
        <f>HYPERLINK("[P Only with New retention and Differentiation.xlsx]'Coastal N Reductions'!C76", 76632.5181179702)</f>
        <v>76632.518117970205</v>
      </c>
      <c r="F238" s="13"/>
      <c r="G238" s="13"/>
      <c r="H238" s="13"/>
      <c r="I238" s="13"/>
      <c r="J238" s="13"/>
      <c r="K238" s="13"/>
      <c r="L238" s="29">
        <f>HYPERLINK("[P Only Old retention.xlsx]'Coastal N Reductions'!D76", 0.27261473904)</f>
        <v>0.27261473904</v>
      </c>
      <c r="M238" s="29">
        <f>HYPERLINK("[P Only New retention.xlsx]'Coastal N Reductions'!D76", 0.152554546839042)</f>
        <v>0.15255454683904199</v>
      </c>
      <c r="N238" s="29">
        <f>HYPERLINK("[P Only with New retention and Differentiation.xlsx]'Coastal N Reductions'!D76", 0.193035342958858)</f>
        <v>0.19303534295885799</v>
      </c>
    </row>
    <row r="239" spans="1:14" x14ac:dyDescent="0.55000000000000004">
      <c r="A239" s="30">
        <v>28</v>
      </c>
      <c r="B239" s="6" t="s">
        <v>162</v>
      </c>
      <c r="C239" s="26">
        <f>HYPERLINK("[P Only Old retention.xlsx]'Coastal N Reductions'!C77", 368705.713413642)</f>
        <v>368705.71341364202</v>
      </c>
      <c r="D239" s="26">
        <f>HYPERLINK("[P Only New retention.xlsx]'Coastal N Reductions'!C77", 368705.713413642)</f>
        <v>368705.71341364202</v>
      </c>
      <c r="E239" s="26">
        <f>HYPERLINK("[P Only with New retention and Differentiation.xlsx]'Coastal N Reductions'!C77", 368705.713413642)</f>
        <v>368705.71341364202</v>
      </c>
      <c r="F239" s="13"/>
      <c r="G239" s="18"/>
      <c r="H239" s="13"/>
      <c r="I239" s="18"/>
      <c r="J239" s="13"/>
      <c r="K239" s="18"/>
      <c r="L239" s="27">
        <f>HYPERLINK("[P Only Old retention.xlsx]'Coastal N Reductions'!D77", 1.58158839836)</f>
        <v>1.5815883983600001</v>
      </c>
      <c r="M239" s="27">
        <f>HYPERLINK("[P Only New retention.xlsx]'Coastal N Reductions'!D77", 0.904341870665578)</f>
        <v>0.90434187066557803</v>
      </c>
      <c r="N239" s="27">
        <f>HYPERLINK("[P Only with New retention and Differentiation.xlsx]'Coastal N Reductions'!D77", 0.984851193909922)</f>
        <v>0.98485119390992204</v>
      </c>
    </row>
    <row r="240" spans="1:14" x14ac:dyDescent="0.55000000000000004">
      <c r="A240" s="31">
        <v>29</v>
      </c>
      <c r="B240" s="5" t="s">
        <v>163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x14ac:dyDescent="0.55000000000000004">
      <c r="A241" s="30">
        <v>34</v>
      </c>
      <c r="B241" s="6" t="s">
        <v>164</v>
      </c>
      <c r="C241" s="26">
        <f>HYPERLINK("[P Only Old retention.xlsx]'Coastal N Reductions'!C79", 371855.283811703)</f>
        <v>371855.28381170298</v>
      </c>
      <c r="D241" s="26">
        <f>HYPERLINK("[P Only New retention.xlsx]'Coastal N Reductions'!C79", 372765.576851703)</f>
        <v>372765.57685170299</v>
      </c>
      <c r="E241" s="26">
        <f>HYPERLINK("[P Only with New retention and Differentiation.xlsx]'Coastal N Reductions'!C79", 233729.258163965)</f>
        <v>233729.25816396499</v>
      </c>
      <c r="F241" s="16">
        <f>D241-C241</f>
        <v>910.29304000001866</v>
      </c>
      <c r="G241" s="17">
        <f>D241/C241-1</f>
        <v>2.4479766178633344E-3</v>
      </c>
      <c r="H241" s="21">
        <f>E241-C241</f>
        <v>-138126.02564773799</v>
      </c>
      <c r="I241" s="22">
        <f>E241/C241-1</f>
        <v>-0.37145102318266665</v>
      </c>
      <c r="J241" s="21">
        <f>E241-D241</f>
        <v>-139036.31868773801</v>
      </c>
      <c r="K241" s="22">
        <f>E241/D241-1</f>
        <v>-0.37298593894320531</v>
      </c>
      <c r="L241" s="27">
        <f>HYPERLINK("[P Only Old retention.xlsx]'Coastal N Reductions'!D79", 1.5248287872)</f>
        <v>1.5248287871999999</v>
      </c>
      <c r="M241" s="27">
        <f>HYPERLINK("[P Only New retention.xlsx]'Coastal N Reductions'!D79", 0.619265680668274)</f>
        <v>0.61926568066827403</v>
      </c>
      <c r="N241" s="27">
        <f>HYPERLINK("[P Only with New retention and Differentiation.xlsx]'Coastal N Reductions'!D79", 0.21241489975)</f>
        <v>0.21241489975</v>
      </c>
    </row>
    <row r="242" spans="1:14" x14ac:dyDescent="0.55000000000000004">
      <c r="A242" s="31">
        <v>35</v>
      </c>
      <c r="B242" s="5" t="s">
        <v>165</v>
      </c>
      <c r="C242" s="28">
        <f>HYPERLINK("[P Only Old retention.xlsx]'Coastal N Reductions'!C80", 4329130.26001953)</f>
        <v>4329130.2600195296</v>
      </c>
      <c r="D242" s="28">
        <f>HYPERLINK("[P Only New retention.xlsx]'Coastal N Reductions'!C80", 4326895.7852331)</f>
        <v>4326895.7852330999</v>
      </c>
      <c r="E242" s="28">
        <f>HYPERLINK("[P Only with New retention and Differentiation.xlsx]'Coastal N Reductions'!C80", 4359366.66564513)</f>
        <v>4359366.66564513</v>
      </c>
      <c r="F242" s="21">
        <f>D242-C242</f>
        <v>-2234.474786429666</v>
      </c>
      <c r="G242" s="22">
        <f>D242/C242-1</f>
        <v>-5.1614866086746591E-4</v>
      </c>
      <c r="H242" s="16">
        <f>E242-C242</f>
        <v>30236.405625600368</v>
      </c>
      <c r="I242" s="17">
        <f>E242/C242-1</f>
        <v>6.9844065226773999E-3</v>
      </c>
      <c r="J242" s="16">
        <f>E242-D242</f>
        <v>32470.880412030034</v>
      </c>
      <c r="K242" s="17">
        <f>E242/D242-1</f>
        <v>7.5044285843091085E-3</v>
      </c>
      <c r="L242" s="29">
        <f>HYPERLINK("[P Only Old retention.xlsx]'Coastal N Reductions'!D80", 5.79721865579992)</f>
        <v>5.7972186557999201</v>
      </c>
      <c r="M242" s="29">
        <f>HYPERLINK("[P Only New retention.xlsx]'Coastal N Reductions'!D80", 4.15614625027156)</f>
        <v>4.1561462502715596</v>
      </c>
      <c r="N242" s="29">
        <f>HYPERLINK("[P Only with New retention and Differentiation.xlsx]'Coastal N Reductions'!D80", 4.51791224495465)</f>
        <v>4.5179122449546503</v>
      </c>
    </row>
    <row r="243" spans="1:14" x14ac:dyDescent="0.55000000000000004">
      <c r="A243" s="30">
        <v>36</v>
      </c>
      <c r="B243" s="6" t="s">
        <v>166</v>
      </c>
      <c r="C243" s="18"/>
      <c r="D243" s="18"/>
      <c r="E243" s="18"/>
      <c r="F243" s="13"/>
      <c r="G243" s="18"/>
      <c r="H243" s="13"/>
      <c r="I243" s="18"/>
      <c r="J243" s="13"/>
      <c r="K243" s="18"/>
      <c r="L243" s="18"/>
      <c r="M243" s="18"/>
      <c r="N243" s="18"/>
    </row>
    <row r="244" spans="1:14" x14ac:dyDescent="0.55000000000000004">
      <c r="A244" s="31">
        <v>37</v>
      </c>
      <c r="B244" s="5" t="s">
        <v>167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x14ac:dyDescent="0.55000000000000004">
      <c r="A245" s="30">
        <v>38</v>
      </c>
      <c r="B245" s="6" t="s">
        <v>168</v>
      </c>
      <c r="C245" s="18"/>
      <c r="D245" s="18"/>
      <c r="E245" s="18"/>
      <c r="F245" s="13"/>
      <c r="G245" s="18"/>
      <c r="H245" s="13"/>
      <c r="I245" s="18"/>
      <c r="J245" s="13"/>
      <c r="K245" s="18"/>
      <c r="L245" s="18"/>
      <c r="M245" s="18"/>
      <c r="N245" s="18"/>
    </row>
    <row r="246" spans="1:14" x14ac:dyDescent="0.55000000000000004">
      <c r="A246" s="31">
        <v>44</v>
      </c>
      <c r="B246" s="5" t="s">
        <v>169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1:14" x14ac:dyDescent="0.55000000000000004">
      <c r="A247" s="30">
        <v>45</v>
      </c>
      <c r="B247" s="6" t="s">
        <v>170</v>
      </c>
      <c r="C247" s="18"/>
      <c r="D247" s="18"/>
      <c r="E247" s="18"/>
      <c r="F247" s="13"/>
      <c r="G247" s="18"/>
      <c r="H247" s="13"/>
      <c r="I247" s="18"/>
      <c r="J247" s="13"/>
      <c r="K247" s="18"/>
      <c r="L247" s="18"/>
      <c r="M247" s="18"/>
      <c r="N247" s="18"/>
    </row>
    <row r="248" spans="1:14" x14ac:dyDescent="0.55000000000000004">
      <c r="A248" s="31">
        <v>46</v>
      </c>
      <c r="B248" s="5" t="s">
        <v>171</v>
      </c>
      <c r="C248" s="28">
        <f>HYPERLINK("[P Only Old retention.xlsx]'Coastal N Reductions'!C86", 13441.2881440975)</f>
        <v>13441.2881440975</v>
      </c>
      <c r="D248" s="28">
        <f>HYPERLINK("[P Only New retention.xlsx]'Coastal N Reductions'!C86", 13441.2881440975)</f>
        <v>13441.2881440975</v>
      </c>
      <c r="E248" s="28">
        <f>HYPERLINK("[P Only with New retention and Differentiation.xlsx]'Coastal N Reductions'!C86", 13441.2881440975)</f>
        <v>13441.2881440975</v>
      </c>
      <c r="F248" s="13"/>
      <c r="G248" s="13"/>
      <c r="H248" s="13"/>
      <c r="I248" s="13"/>
      <c r="J248" s="13"/>
      <c r="K248" s="13"/>
      <c r="L248" s="29">
        <f>HYPERLINK("[P Only Old retention.xlsx]'Coastal N Reductions'!D86", 0.0070850933999999)</f>
        <v>7.0850933999999002E-3</v>
      </c>
      <c r="M248" s="29">
        <f>HYPERLINK("[P Only New retention.xlsx]'Coastal N Reductions'!D86", 0.0336826075911213)</f>
        <v>3.3682607591121301E-2</v>
      </c>
      <c r="N248" s="29">
        <f>HYPERLINK("[P Only with New retention and Differentiation.xlsx]'Coastal N Reductions'!D86", 0.0336826075911213)</f>
        <v>3.3682607591121301E-2</v>
      </c>
    </row>
    <row r="249" spans="1:14" x14ac:dyDescent="0.55000000000000004">
      <c r="A249" s="30">
        <v>47</v>
      </c>
      <c r="B249" s="6" t="s">
        <v>172</v>
      </c>
      <c r="C249" s="26">
        <f>HYPERLINK("[P Only Old retention.xlsx]'Coastal N Reductions'!C87", 396938.661149194)</f>
        <v>396938.661149194</v>
      </c>
      <c r="D249" s="26">
        <f>HYPERLINK("[P Only New retention.xlsx]'Coastal N Reductions'!C87", 396938.661149194)</f>
        <v>396938.661149194</v>
      </c>
      <c r="E249" s="26">
        <f>HYPERLINK("[P Only with New retention and Differentiation.xlsx]'Coastal N Reductions'!C87", 396938.661149194)</f>
        <v>396938.661149194</v>
      </c>
      <c r="F249" s="21">
        <f>D249-C249</f>
        <v>0</v>
      </c>
      <c r="G249" s="22">
        <f>D249/C249-1</f>
        <v>0</v>
      </c>
      <c r="H249" s="13"/>
      <c r="I249" s="18"/>
      <c r="J249" s="16">
        <f>E249-D249</f>
        <v>0</v>
      </c>
      <c r="K249" s="17">
        <f>E249/D249-1</f>
        <v>0</v>
      </c>
      <c r="L249" s="27">
        <f>HYPERLINK("[P Only Old retention.xlsx]'Coastal N Reductions'!D87", 1.03172032776)</f>
        <v>1.03172032776</v>
      </c>
      <c r="M249" s="27">
        <f>HYPERLINK("[P Only New retention.xlsx]'Coastal N Reductions'!D87", 1.29525298115092)</f>
        <v>1.2952529811509199</v>
      </c>
      <c r="N249" s="27">
        <f>HYPERLINK("[P Only with New retention and Differentiation.xlsx]'Coastal N Reductions'!D87", 1.37840337368521)</f>
        <v>1.3784033736852099</v>
      </c>
    </row>
    <row r="250" spans="1:14" x14ac:dyDescent="0.55000000000000004">
      <c r="A250" s="31">
        <v>48</v>
      </c>
      <c r="B250" s="5" t="s">
        <v>173</v>
      </c>
      <c r="C250" s="28">
        <f>HYPERLINK("[P Only Old retention.xlsx]'Coastal N Reductions'!C88", 1304632.64189196)</f>
        <v>1304632.6418919601</v>
      </c>
      <c r="D250" s="28">
        <f>HYPERLINK("[P Only New retention.xlsx]'Coastal N Reductions'!C88", 1304632.64189196)</f>
        <v>1304632.6418919601</v>
      </c>
      <c r="E250" s="28">
        <f>HYPERLINK("[P Only with New retention and Differentiation.xlsx]'Coastal N Reductions'!C88", 1304632.64189196)</f>
        <v>1304632.6418919601</v>
      </c>
      <c r="F250" s="13"/>
      <c r="G250" s="13"/>
      <c r="H250" s="13"/>
      <c r="I250" s="13"/>
      <c r="J250" s="13"/>
      <c r="K250" s="13"/>
      <c r="L250" s="29">
        <f>HYPERLINK("[P Only Old retention.xlsx]'Coastal N Reductions'!D88", 3.43209956828)</f>
        <v>3.43209956828</v>
      </c>
      <c r="M250" s="29">
        <f>HYPERLINK("[P Only New retention.xlsx]'Coastal N Reductions'!D88", 2.46320282092097)</f>
        <v>2.4632028209209702</v>
      </c>
      <c r="N250" s="29">
        <f>HYPERLINK("[P Only with New retention and Differentiation.xlsx]'Coastal N Reductions'!D88", 2.47409053020229)</f>
        <v>2.47409053020229</v>
      </c>
    </row>
    <row r="251" spans="1:14" x14ac:dyDescent="0.55000000000000004">
      <c r="A251" s="30">
        <v>49</v>
      </c>
      <c r="B251" s="6" t="s">
        <v>174</v>
      </c>
      <c r="C251" s="18"/>
      <c r="D251" s="18"/>
      <c r="E251" s="18"/>
      <c r="F251" s="13"/>
      <c r="G251" s="18"/>
      <c r="H251" s="13"/>
      <c r="I251" s="18"/>
      <c r="J251" s="13"/>
      <c r="K251" s="18"/>
      <c r="L251" s="18"/>
      <c r="M251" s="18"/>
      <c r="N251" s="18"/>
    </row>
    <row r="252" spans="1:14" x14ac:dyDescent="0.55000000000000004">
      <c r="A252" s="31">
        <v>56</v>
      </c>
      <c r="B252" s="5" t="s">
        <v>175</v>
      </c>
      <c r="C252" s="28">
        <f>HYPERLINK("[P Only Old retention.xlsx]'Coastal N Reductions'!C90", 128101.315483439)</f>
        <v>128101.315483439</v>
      </c>
      <c r="D252" s="28">
        <f>HYPERLINK("[P Only New retention.xlsx]'Coastal N Reductions'!C90", 128101.315483439)</f>
        <v>128101.315483439</v>
      </c>
      <c r="E252" s="28">
        <f>HYPERLINK("[P Only with New retention and Differentiation.xlsx]'Coastal N Reductions'!C90", 128101.315483439)</f>
        <v>128101.315483439</v>
      </c>
      <c r="F252" s="13"/>
      <c r="G252" s="13"/>
      <c r="H252" s="13"/>
      <c r="I252" s="13"/>
      <c r="J252" s="13"/>
      <c r="K252" s="13"/>
      <c r="L252" s="29">
        <f>HYPERLINK("[P Only Old retention.xlsx]'Coastal N Reductions'!D90", 0.570511084)</f>
        <v>0.57051108399999995</v>
      </c>
      <c r="M252" s="29">
        <f>HYPERLINK("[P Only New retention.xlsx]'Coastal N Reductions'!D90", 0.642155827560148)</f>
        <v>0.642155827560148</v>
      </c>
      <c r="N252" s="29">
        <f>HYPERLINK("[P Only with New retention and Differentiation.xlsx]'Coastal N Reductions'!D90", 0.695369329762262)</f>
        <v>0.69536932976226196</v>
      </c>
    </row>
    <row r="253" spans="1:14" x14ac:dyDescent="0.55000000000000004">
      <c r="A253" s="30">
        <v>57</v>
      </c>
      <c r="B253" s="6" t="s">
        <v>176</v>
      </c>
      <c r="C253" s="18"/>
      <c r="D253" s="18"/>
      <c r="E253" s="18"/>
      <c r="F253" s="13"/>
      <c r="G253" s="18"/>
      <c r="H253" s="13"/>
      <c r="I253" s="18"/>
      <c r="J253" s="13"/>
      <c r="K253" s="18"/>
      <c r="L253" s="18"/>
      <c r="M253" s="18"/>
      <c r="N253" s="18"/>
    </row>
    <row r="254" spans="1:14" x14ac:dyDescent="0.55000000000000004">
      <c r="A254" s="31">
        <v>59</v>
      </c>
      <c r="B254" s="5" t="s">
        <v>177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x14ac:dyDescent="0.55000000000000004">
      <c r="A255" s="30">
        <v>62</v>
      </c>
      <c r="B255" s="6" t="s">
        <v>178</v>
      </c>
      <c r="C255" s="18"/>
      <c r="D255" s="18"/>
      <c r="E255" s="18"/>
      <c r="F255" s="13"/>
      <c r="G255" s="18"/>
      <c r="H255" s="13"/>
      <c r="I255" s="18"/>
      <c r="J255" s="13"/>
      <c r="K255" s="18"/>
      <c r="L255" s="18"/>
      <c r="M255" s="18"/>
      <c r="N255" s="18"/>
    </row>
    <row r="256" spans="1:14" x14ac:dyDescent="0.55000000000000004">
      <c r="A256" s="31">
        <v>68</v>
      </c>
      <c r="B256" s="5" t="s">
        <v>179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1:14" x14ac:dyDescent="0.55000000000000004">
      <c r="A257" s="30">
        <v>72</v>
      </c>
      <c r="B257" s="6" t="s">
        <v>180</v>
      </c>
      <c r="C257" s="18"/>
      <c r="D257" s="18"/>
      <c r="E257" s="18"/>
      <c r="F257" s="13"/>
      <c r="G257" s="18"/>
      <c r="H257" s="13"/>
      <c r="I257" s="18"/>
      <c r="J257" s="13"/>
      <c r="K257" s="18"/>
      <c r="L257" s="18"/>
      <c r="M257" s="18"/>
      <c r="N257" s="18"/>
    </row>
    <row r="258" spans="1:14" x14ac:dyDescent="0.55000000000000004">
      <c r="A258" s="31">
        <v>74</v>
      </c>
      <c r="B258" s="5" t="s">
        <v>181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1:14" x14ac:dyDescent="0.55000000000000004">
      <c r="A259" s="30">
        <v>80</v>
      </c>
      <c r="B259" s="6" t="s">
        <v>182</v>
      </c>
      <c r="C259" s="18"/>
      <c r="D259" s="18"/>
      <c r="E259" s="18"/>
      <c r="F259" s="13"/>
      <c r="G259" s="18"/>
      <c r="H259" s="13"/>
      <c r="I259" s="18"/>
      <c r="J259" s="13"/>
      <c r="K259" s="18"/>
      <c r="L259" s="18"/>
      <c r="M259" s="18"/>
      <c r="N259" s="18"/>
    </row>
    <row r="260" spans="1:14" x14ac:dyDescent="0.55000000000000004">
      <c r="A260" s="31">
        <v>82</v>
      </c>
      <c r="B260" s="5" t="s">
        <v>183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1:14" x14ac:dyDescent="0.55000000000000004">
      <c r="A261" s="30">
        <v>83</v>
      </c>
      <c r="B261" s="6" t="s">
        <v>184</v>
      </c>
      <c r="C261" s="26">
        <f>HYPERLINK("[P Only Old retention.xlsx]'Coastal N Reductions'!C100", 524943.985334511)</f>
        <v>524943.98533451103</v>
      </c>
      <c r="D261" s="26">
        <f>HYPERLINK("[P Only New retention.xlsx]'Coastal N Reductions'!C100", 523875.985334511)</f>
        <v>523875.98533451097</v>
      </c>
      <c r="E261" s="26">
        <f>HYPERLINK("[P Only with New retention and Differentiation.xlsx]'Coastal N Reductions'!C100", 523757.137304511)</f>
        <v>523757.13730451098</v>
      </c>
      <c r="F261" s="21">
        <f>D261-C261</f>
        <v>-1068.0000000000582</v>
      </c>
      <c r="G261" s="22">
        <f>D261/C261-1</f>
        <v>-2.034502784748593E-3</v>
      </c>
      <c r="H261" s="21">
        <f>E261-C261</f>
        <v>-1186.8480300000519</v>
      </c>
      <c r="I261" s="22">
        <f>E261/C261-1</f>
        <v>-2.2609041405508012E-3</v>
      </c>
      <c r="J261" s="21">
        <f>E261-D261</f>
        <v>-118.84802999999374</v>
      </c>
      <c r="K261" s="22">
        <f>E261/D261-1</f>
        <v>-2.2686290902240724E-4</v>
      </c>
      <c r="L261" s="27">
        <f>HYPERLINK("[P Only Old retention.xlsx]'Coastal N Reductions'!D100", 1.59600008124)</f>
        <v>1.5960000812399999</v>
      </c>
      <c r="M261" s="27">
        <f>HYPERLINK("[P Only New retention.xlsx]'Coastal N Reductions'!D100", 2.17422500443037)</f>
        <v>2.1742250044303701</v>
      </c>
      <c r="N261" s="27">
        <f>HYPERLINK("[P Only with New retention and Differentiation.xlsx]'Coastal N Reductions'!D100", 2.19898069406375)</f>
        <v>2.1989806940637502</v>
      </c>
    </row>
    <row r="262" spans="1:14" x14ac:dyDescent="0.55000000000000004">
      <c r="A262" s="31">
        <v>84</v>
      </c>
      <c r="B262" s="5" t="s">
        <v>185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1:14" x14ac:dyDescent="0.55000000000000004">
      <c r="A263" s="30">
        <v>85</v>
      </c>
      <c r="B263" s="6" t="s">
        <v>186</v>
      </c>
      <c r="C263" s="18"/>
      <c r="D263" s="18"/>
      <c r="E263" s="18"/>
      <c r="F263" s="13"/>
      <c r="G263" s="18"/>
      <c r="H263" s="13"/>
      <c r="I263" s="18"/>
      <c r="J263" s="13"/>
      <c r="K263" s="18"/>
      <c r="L263" s="18"/>
      <c r="M263" s="18"/>
      <c r="N263" s="18"/>
    </row>
    <row r="264" spans="1:14" x14ac:dyDescent="0.55000000000000004">
      <c r="A264" s="31">
        <v>86</v>
      </c>
      <c r="B264" s="5" t="s">
        <v>187</v>
      </c>
      <c r="C264" s="28">
        <f>HYPERLINK("[P Only Old retention.xlsx]'Coastal N Reductions'!C103", 254399.63336142)</f>
        <v>254399.63336142001</v>
      </c>
      <c r="D264" s="28">
        <f>HYPERLINK("[P Only New retention.xlsx]'Coastal N Reductions'!C103", 254399.63336142)</f>
        <v>254399.63336142001</v>
      </c>
      <c r="E264" s="28">
        <f>HYPERLINK("[P Only with New retention and Differentiation.xlsx]'Coastal N Reductions'!C103", 254399.63336142)</f>
        <v>254399.63336142001</v>
      </c>
      <c r="F264" s="13"/>
      <c r="G264" s="13"/>
      <c r="H264" s="13"/>
      <c r="I264" s="13"/>
      <c r="J264" s="13"/>
      <c r="K264" s="13"/>
      <c r="L264" s="29">
        <f>HYPERLINK("[P Only Old retention.xlsx]'Coastal N Reductions'!D103", 0.3770205834)</f>
        <v>0.3770205834</v>
      </c>
      <c r="M264" s="29">
        <f>HYPERLINK("[P Only New retention.xlsx]'Coastal N Reductions'!D103", 0.355537634163145)</f>
        <v>0.35553763416314499</v>
      </c>
      <c r="N264" s="29">
        <f>HYPERLINK("[P Only with New retention and Differentiation.xlsx]'Coastal N Reductions'!D103", 0.394811222275669)</f>
        <v>0.394811222275669</v>
      </c>
    </row>
    <row r="265" spans="1:14" x14ac:dyDescent="0.55000000000000004">
      <c r="A265" s="30">
        <v>87</v>
      </c>
      <c r="B265" s="6" t="s">
        <v>188</v>
      </c>
      <c r="C265" s="26">
        <f>HYPERLINK("[P Only Old retention.xlsx]'Coastal N Reductions'!C104", 1096.62789439831)</f>
        <v>1096.62789439831</v>
      </c>
      <c r="D265" s="26">
        <f>HYPERLINK("[P Only New retention.xlsx]'Coastal N Reductions'!C104", 1017.42789439831)</f>
        <v>1017.4278943983099</v>
      </c>
      <c r="E265" s="26">
        <f>HYPERLINK("[P Only with New retention and Differentiation.xlsx]'Coastal N Reductions'!C104", 1017.42789439831)</f>
        <v>1017.4278943983099</v>
      </c>
      <c r="F265" s="21">
        <f>D265-C265</f>
        <v>-79.200000000000045</v>
      </c>
      <c r="G265" s="22">
        <f>D265/C265-1</f>
        <v>-7.2221398347207755E-2</v>
      </c>
      <c r="H265" s="21">
        <f>E265-C265</f>
        <v>-79.200000000000045</v>
      </c>
      <c r="I265" s="22">
        <f>E265/C265-1</f>
        <v>-7.2221398347207755E-2</v>
      </c>
      <c r="J265" s="13"/>
      <c r="K265" s="18"/>
      <c r="L265" s="18"/>
      <c r="M265" s="18"/>
      <c r="N265" s="18"/>
    </row>
    <row r="266" spans="1:14" x14ac:dyDescent="0.55000000000000004">
      <c r="A266" s="31">
        <v>89</v>
      </c>
      <c r="B266" s="5" t="s">
        <v>189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1:14" x14ac:dyDescent="0.55000000000000004">
      <c r="A267" s="30">
        <v>90</v>
      </c>
      <c r="B267" s="6" t="s">
        <v>190</v>
      </c>
      <c r="C267" s="26">
        <f>HYPERLINK("[P Only Old retention.xlsx]'Coastal N Reductions'!C106", 27765.2220736306)</f>
        <v>27765.222073630601</v>
      </c>
      <c r="D267" s="26">
        <f>HYPERLINK("[P Only New retention.xlsx]'Coastal N Reductions'!C106", 27765.2220736306)</f>
        <v>27765.222073630601</v>
      </c>
      <c r="E267" s="26">
        <f>HYPERLINK("[P Only with New retention and Differentiation.xlsx]'Coastal N Reductions'!C106", 27765.2220736306)</f>
        <v>27765.222073630601</v>
      </c>
      <c r="F267" s="13"/>
      <c r="G267" s="18"/>
      <c r="H267" s="13"/>
      <c r="I267" s="18"/>
      <c r="J267" s="13"/>
      <c r="K267" s="18"/>
      <c r="L267" s="27">
        <f>HYPERLINK("[P Only Old retention.xlsx]'Coastal N Reductions'!D106", 0.0688358283999999)</f>
        <v>6.8835828399999896E-2</v>
      </c>
      <c r="M267" s="27">
        <f>HYPERLINK("[P Only New retention.xlsx]'Coastal N Reductions'!D106", 0.164408066477602)</f>
        <v>0.16440806647760201</v>
      </c>
      <c r="N267" s="27">
        <f>HYPERLINK("[P Only with New retention and Differentiation.xlsx]'Coastal N Reductions'!D106", 0.164408066477602)</f>
        <v>0.16440806647760201</v>
      </c>
    </row>
    <row r="268" spans="1:14" x14ac:dyDescent="0.55000000000000004">
      <c r="A268" s="31">
        <v>92</v>
      </c>
      <c r="B268" s="5" t="s">
        <v>191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1:14" x14ac:dyDescent="0.55000000000000004">
      <c r="A269" s="30">
        <v>93</v>
      </c>
      <c r="B269" s="6" t="s">
        <v>192</v>
      </c>
      <c r="C269" s="26">
        <f>HYPERLINK("[P Only Old retention.xlsx]'Coastal N Reductions'!C108", 833157.094087174)</f>
        <v>833157.09408717405</v>
      </c>
      <c r="D269" s="26">
        <f>HYPERLINK("[P Only New retention.xlsx]'Coastal N Reductions'!C108", 833322.522490024)</f>
        <v>833322.52249002398</v>
      </c>
      <c r="E269" s="26">
        <f>HYPERLINK("[P Only with New retention and Differentiation.xlsx]'Coastal N Reductions'!C108", 833031.722490024)</f>
        <v>833031.72249002405</v>
      </c>
      <c r="F269" s="16">
        <f>D269-C269</f>
        <v>165.42840284993872</v>
      </c>
      <c r="G269" s="17">
        <f>D269/C269-1</f>
        <v>1.9855607546759302E-4</v>
      </c>
      <c r="H269" s="21">
        <f>E269-C269</f>
        <v>-125.37159714999143</v>
      </c>
      <c r="I269" s="22">
        <f>E269/C269-1</f>
        <v>-1.5047774068033259E-4</v>
      </c>
      <c r="J269" s="21">
        <f>E269-D269</f>
        <v>-290.79999999993015</v>
      </c>
      <c r="K269" s="22">
        <f>E269/D269-1</f>
        <v>-3.4896452712085413E-4</v>
      </c>
      <c r="L269" s="27">
        <f>HYPERLINK("[P Only Old retention.xlsx]'Coastal N Reductions'!D108", 2.80113238901996)</f>
        <v>2.8011323890199602</v>
      </c>
      <c r="M269" s="27">
        <f>HYPERLINK("[P Only New retention.xlsx]'Coastal N Reductions'!D108", 3.0379437003851)</f>
        <v>3.0379437003851</v>
      </c>
      <c r="N269" s="27">
        <f>HYPERLINK("[P Only with New retention and Differentiation.xlsx]'Coastal N Reductions'!D108", 3.05283867801827)</f>
        <v>3.0528386780182699</v>
      </c>
    </row>
    <row r="270" spans="1:14" x14ac:dyDescent="0.55000000000000004">
      <c r="A270" s="31">
        <v>95</v>
      </c>
      <c r="B270" s="5" t="s">
        <v>193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1:14" x14ac:dyDescent="0.55000000000000004">
      <c r="A271" s="30">
        <v>96</v>
      </c>
      <c r="B271" s="6" t="s">
        <v>194</v>
      </c>
      <c r="C271" s="18"/>
      <c r="D271" s="18"/>
      <c r="E271" s="18"/>
      <c r="F271" s="13"/>
      <c r="G271" s="18"/>
      <c r="H271" s="13"/>
      <c r="I271" s="18"/>
      <c r="J271" s="13"/>
      <c r="K271" s="18"/>
      <c r="L271" s="18"/>
      <c r="M271" s="18"/>
      <c r="N271" s="18"/>
    </row>
    <row r="272" spans="1:14" x14ac:dyDescent="0.55000000000000004">
      <c r="A272" s="31">
        <v>101</v>
      </c>
      <c r="B272" s="5" t="s">
        <v>195</v>
      </c>
      <c r="C272" s="28">
        <f>HYPERLINK("[P Only Old retention.xlsx]'Coastal N Reductions'!C3", 6867.8085591501)</f>
        <v>6867.8085591501003</v>
      </c>
      <c r="D272" s="28">
        <f>HYPERLINK("[P Only New retention.xlsx]'Coastal N Reductions'!C3", 6575.8085591501)</f>
        <v>6575.8085591501003</v>
      </c>
      <c r="E272" s="28">
        <f>HYPERLINK("[P Only with New retention and Differentiation.xlsx]'Coastal N Reductions'!C3", 6575.8085591501)</f>
        <v>6575.8085591501003</v>
      </c>
      <c r="F272" s="21">
        <f>D272-C272</f>
        <v>-292</v>
      </c>
      <c r="G272" s="22">
        <f>D272/C272-1</f>
        <v>-4.2517201445716357E-2</v>
      </c>
      <c r="H272" s="21">
        <f>E272-C272</f>
        <v>-292</v>
      </c>
      <c r="I272" s="22">
        <f>E272/C272-1</f>
        <v>-4.2517201445716357E-2</v>
      </c>
      <c r="J272" s="13"/>
      <c r="K272" s="13"/>
      <c r="L272" s="13"/>
      <c r="M272" s="13"/>
      <c r="N272" s="13"/>
    </row>
    <row r="273" spans="1:14" x14ac:dyDescent="0.55000000000000004">
      <c r="A273" s="30">
        <v>102</v>
      </c>
      <c r="B273" s="6" t="s">
        <v>196</v>
      </c>
      <c r="C273" s="18"/>
      <c r="D273" s="18"/>
      <c r="E273" s="18"/>
      <c r="F273" s="13"/>
      <c r="G273" s="18"/>
      <c r="H273" s="13"/>
      <c r="I273" s="18"/>
      <c r="J273" s="13"/>
      <c r="K273" s="18"/>
      <c r="L273" s="18"/>
      <c r="M273" s="18"/>
      <c r="N273" s="18"/>
    </row>
    <row r="274" spans="1:14" x14ac:dyDescent="0.55000000000000004">
      <c r="A274" s="31">
        <v>103</v>
      </c>
      <c r="B274" s="5" t="s">
        <v>197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1:14" x14ac:dyDescent="0.55000000000000004">
      <c r="A275" s="30">
        <v>104</v>
      </c>
      <c r="B275" s="6" t="s">
        <v>198</v>
      </c>
      <c r="C275" s="26">
        <f>HYPERLINK("[P Only Old retention.xlsx]'Coastal N Reductions'!C6", 407398.947509206)</f>
        <v>407398.94750920602</v>
      </c>
      <c r="D275" s="26">
        <f>HYPERLINK("[P Only New retention.xlsx]'Coastal N Reductions'!C6", 409360.007509206)</f>
        <v>409360.00750920601</v>
      </c>
      <c r="E275" s="26">
        <f>HYPERLINK("[P Only with New retention and Differentiation.xlsx]'Coastal N Reductions'!C6", 409307.447509206)</f>
        <v>409307.44750920602</v>
      </c>
      <c r="F275" s="16">
        <f>D275-C275</f>
        <v>1961.0599999999977</v>
      </c>
      <c r="G275" s="17">
        <f>D275/C275-1</f>
        <v>4.8136108647056641E-3</v>
      </c>
      <c r="H275" s="16">
        <f>E275-C275</f>
        <v>1908.5</v>
      </c>
      <c r="I275" s="17">
        <f>E275/C275-1</f>
        <v>4.684597276621183E-3</v>
      </c>
      <c r="J275" s="21">
        <f>E275-D275</f>
        <v>-52.559999999997672</v>
      </c>
      <c r="K275" s="22">
        <f>E275/D275-1</f>
        <v>-1.2839554190891E-4</v>
      </c>
      <c r="L275" s="27">
        <f>HYPERLINK("[P Only Old retention.xlsx]'Coastal N Reductions'!D6", 2.310912)</f>
        <v>2.3109120000000001</v>
      </c>
      <c r="M275" s="27">
        <f>HYPERLINK("[P Only New retention.xlsx]'Coastal N Reductions'!D6", 2.310912)</f>
        <v>2.3109120000000001</v>
      </c>
      <c r="N275" s="27">
        <f>HYPERLINK("[P Only with New retention and Differentiation.xlsx]'Coastal N Reductions'!D6", 2.310912)</f>
        <v>2.3109120000000001</v>
      </c>
    </row>
    <row r="276" spans="1:14" x14ac:dyDescent="0.55000000000000004">
      <c r="A276" s="31">
        <v>105</v>
      </c>
      <c r="B276" s="5" t="s">
        <v>199</v>
      </c>
      <c r="C276" s="28">
        <f>HYPERLINK("[P Only Old retention.xlsx]'Coastal N Reductions'!C7", 4429272.37614069)</f>
        <v>4429272.3761406904</v>
      </c>
      <c r="D276" s="28">
        <f>HYPERLINK("[P Only New retention.xlsx]'Coastal N Reductions'!C7", 4422100.65160422)</f>
        <v>4422100.6516042203</v>
      </c>
      <c r="E276" s="28">
        <f>HYPERLINK("[P Only with New retention and Differentiation.xlsx]'Coastal N Reductions'!C7", 4422100.65160422)</f>
        <v>4422100.6516042203</v>
      </c>
      <c r="F276" s="21">
        <f>D276-C276</f>
        <v>-7171.7245364701375</v>
      </c>
      <c r="G276" s="22">
        <f>D276/C276-1</f>
        <v>-1.6191653904831238E-3</v>
      </c>
      <c r="H276" s="21">
        <f>E276-C276</f>
        <v>-7171.7245364701375</v>
      </c>
      <c r="I276" s="22">
        <f>E276/C276-1</f>
        <v>-1.6191653904831238E-3</v>
      </c>
      <c r="J276" s="13"/>
      <c r="K276" s="13"/>
      <c r="L276" s="29">
        <f>HYPERLINK("[P Only Old retention.xlsx]'Coastal N Reductions'!D7", 20.13498898964)</f>
        <v>20.13498898964</v>
      </c>
      <c r="M276" s="29">
        <f>HYPERLINK("[P Only New retention.xlsx]'Coastal N Reductions'!D7", 16.9067848795887)</f>
        <v>16.906784879588699</v>
      </c>
      <c r="N276" s="29">
        <f>HYPERLINK("[P Only with New retention and Differentiation.xlsx]'Coastal N Reductions'!D7", 17.2200909806043)</f>
        <v>17.220090980604301</v>
      </c>
    </row>
    <row r="277" spans="1:14" x14ac:dyDescent="0.55000000000000004">
      <c r="A277" s="30">
        <v>106</v>
      </c>
      <c r="B277" s="6" t="s">
        <v>200</v>
      </c>
      <c r="C277" s="26">
        <f>HYPERLINK("[P Only Old retention.xlsx]'Coastal N Reductions'!C8", 14653976.9674582)</f>
        <v>14653976.9674582</v>
      </c>
      <c r="D277" s="26">
        <f>HYPERLINK("[P Only New retention.xlsx]'Coastal N Reductions'!C8", 14653976.9674582)</f>
        <v>14653976.9674582</v>
      </c>
      <c r="E277" s="26">
        <f>HYPERLINK("[P Only with New retention and Differentiation.xlsx]'Coastal N Reductions'!C8", 14653976.9674582)</f>
        <v>14653976.9674582</v>
      </c>
      <c r="F277" s="13"/>
      <c r="G277" s="18"/>
      <c r="H277" s="13"/>
      <c r="I277" s="18"/>
      <c r="J277" s="13"/>
      <c r="K277" s="18"/>
      <c r="L277" s="27">
        <f>HYPERLINK("[P Only Old retention.xlsx]'Coastal N Reductions'!D8", 77.4149238165913)</f>
        <v>77.414923816591298</v>
      </c>
      <c r="M277" s="27">
        <f>HYPERLINK("[P Only New retention.xlsx]'Coastal N Reductions'!D8", 74.5459684016979)</f>
        <v>74.545968401697905</v>
      </c>
      <c r="N277" s="27">
        <f>HYPERLINK("[P Only with New retention and Differentiation.xlsx]'Coastal N Reductions'!D8", 72.4972457719432)</f>
        <v>72.497245771943199</v>
      </c>
    </row>
    <row r="278" spans="1:14" x14ac:dyDescent="0.55000000000000004">
      <c r="A278" s="31">
        <v>107</v>
      </c>
      <c r="B278" s="5" t="s">
        <v>201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1:14" x14ac:dyDescent="0.55000000000000004">
      <c r="A279" s="30">
        <v>108</v>
      </c>
      <c r="B279" s="6" t="s">
        <v>202</v>
      </c>
      <c r="C279" s="18"/>
      <c r="D279" s="18"/>
      <c r="E279" s="18"/>
      <c r="F279" s="13"/>
      <c r="G279" s="18"/>
      <c r="H279" s="13"/>
      <c r="I279" s="18"/>
      <c r="J279" s="13"/>
      <c r="K279" s="18"/>
      <c r="L279" s="18"/>
      <c r="M279" s="18"/>
      <c r="N279" s="18"/>
    </row>
    <row r="280" spans="1:14" x14ac:dyDescent="0.55000000000000004">
      <c r="A280" s="31">
        <v>109</v>
      </c>
      <c r="B280" s="5" t="s">
        <v>203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1:14" x14ac:dyDescent="0.55000000000000004">
      <c r="A281" s="30">
        <v>110</v>
      </c>
      <c r="B281" s="6" t="s">
        <v>204</v>
      </c>
      <c r="C281" s="26">
        <f>HYPERLINK("[P Only Old retention.xlsx]'Coastal N Reductions'!C12", 1076657.81194797)</f>
        <v>1076657.81194797</v>
      </c>
      <c r="D281" s="26">
        <f>HYPERLINK("[P Only New retention.xlsx]'Coastal N Reductions'!C12", 1076657.81194797)</f>
        <v>1076657.81194797</v>
      </c>
      <c r="E281" s="26">
        <f>HYPERLINK("[P Only with New retention and Differentiation.xlsx]'Coastal N Reductions'!C12", 1076657.81194797)</f>
        <v>1076657.81194797</v>
      </c>
      <c r="F281" s="13"/>
      <c r="G281" s="18"/>
      <c r="H281" s="13"/>
      <c r="I281" s="18"/>
      <c r="J281" s="13"/>
      <c r="K281" s="18"/>
      <c r="L281" s="27">
        <f>HYPERLINK("[P Only Old retention.xlsx]'Coastal N Reductions'!D12", 7.25586375752)</f>
        <v>7.2558637575200002</v>
      </c>
      <c r="M281" s="27">
        <f>HYPERLINK("[P Only New retention.xlsx]'Coastal N Reductions'!D12", 5.61723154499114)</f>
        <v>5.6172315449911396</v>
      </c>
      <c r="N281" s="27">
        <f>HYPERLINK("[P Only with New retention and Differentiation.xlsx]'Coastal N Reductions'!D12", 5.54347423361721)</f>
        <v>5.5434742336172098</v>
      </c>
    </row>
    <row r="282" spans="1:14" x14ac:dyDescent="0.55000000000000004">
      <c r="A282" s="31">
        <v>111</v>
      </c>
      <c r="B282" s="5" t="s">
        <v>205</v>
      </c>
      <c r="C282" s="28">
        <f>HYPERLINK("[P Only Old retention.xlsx]'Coastal N Reductions'!C13", 5759916.23286652)</f>
        <v>5759916.2328665201</v>
      </c>
      <c r="D282" s="28">
        <f>HYPERLINK("[P Only New retention.xlsx]'Coastal N Reductions'!C13", 5759643.71944755)</f>
        <v>5759643.7194475504</v>
      </c>
      <c r="E282" s="28">
        <f>HYPERLINK("[P Only with New retention and Differentiation.xlsx]'Coastal N Reductions'!C13", 5759643.71944755)</f>
        <v>5759643.7194475504</v>
      </c>
      <c r="F282" s="21">
        <f>D282-C282</f>
        <v>-272.51341896969825</v>
      </c>
      <c r="G282" s="22">
        <f>D282/C282-1</f>
        <v>-4.7312045514558143E-5</v>
      </c>
      <c r="H282" s="21">
        <f>E282-C282</f>
        <v>-272.51341896969825</v>
      </c>
      <c r="I282" s="22">
        <f>E282/C282-1</f>
        <v>-4.7312045514558143E-5</v>
      </c>
      <c r="J282" s="13"/>
      <c r="K282" s="13"/>
      <c r="L282" s="29">
        <f>HYPERLINK("[P Only Old retention.xlsx]'Coastal N Reductions'!D13", 16.5785728425)</f>
        <v>16.578572842500002</v>
      </c>
      <c r="M282" s="29">
        <f>HYPERLINK("[P Only New retention.xlsx]'Coastal N Reductions'!D13", 22.2471276682591)</f>
        <v>22.2471276682591</v>
      </c>
      <c r="N282" s="29">
        <f>HYPERLINK("[P Only with New retention and Differentiation.xlsx]'Coastal N Reductions'!D13", 21.0366882706287)</f>
        <v>21.036688270628702</v>
      </c>
    </row>
    <row r="283" spans="1:14" x14ac:dyDescent="0.55000000000000004">
      <c r="A283" s="30">
        <v>113</v>
      </c>
      <c r="B283" s="6" t="s">
        <v>206</v>
      </c>
      <c r="C283" s="18"/>
      <c r="D283" s="18"/>
      <c r="E283" s="18"/>
      <c r="F283" s="13"/>
      <c r="G283" s="18"/>
      <c r="H283" s="13"/>
      <c r="I283" s="18"/>
      <c r="J283" s="13"/>
      <c r="K283" s="18"/>
      <c r="L283" s="18"/>
      <c r="M283" s="18"/>
      <c r="N283" s="18"/>
    </row>
    <row r="284" spans="1:14" x14ac:dyDescent="0.55000000000000004">
      <c r="A284" s="31">
        <v>114</v>
      </c>
      <c r="B284" s="5" t="s">
        <v>207</v>
      </c>
      <c r="C284" s="28">
        <f>HYPERLINK("[P Only Old retention.xlsx]'Coastal N Reductions'!C15", 70279.7450196226)</f>
        <v>70279.745019622598</v>
      </c>
      <c r="D284" s="28">
        <f>HYPERLINK("[P Only New retention.xlsx]'Coastal N Reductions'!C15", 70279.7450196226)</f>
        <v>70279.745019622598</v>
      </c>
      <c r="E284" s="28">
        <f>HYPERLINK("[P Only with New retention and Differentiation.xlsx]'Coastal N Reductions'!C15", 70279.7450196226)</f>
        <v>70279.745019622598</v>
      </c>
      <c r="F284" s="13"/>
      <c r="G284" s="13"/>
      <c r="H284" s="13"/>
      <c r="I284" s="13"/>
      <c r="J284" s="13"/>
      <c r="K284" s="13"/>
      <c r="L284" s="29">
        <f>HYPERLINK("[P Only Old retention.xlsx]'Coastal N Reductions'!D15", 0.0008782208999999)</f>
        <v>8.782208999999E-4</v>
      </c>
      <c r="M284" s="29">
        <f>HYPERLINK("[P Only New retention.xlsx]'Coastal N Reductions'!D15", 0.0003182184143263)</f>
        <v>3.1821841432629999E-4</v>
      </c>
      <c r="N284" s="29">
        <f>HYPERLINK("[P Only with New retention and Differentiation.xlsx]'Coastal N Reductions'!D15", 0.0003182184143263)</f>
        <v>3.1821841432629999E-4</v>
      </c>
    </row>
    <row r="285" spans="1:14" x14ac:dyDescent="0.55000000000000004">
      <c r="A285" s="30">
        <v>119</v>
      </c>
      <c r="B285" s="6" t="s">
        <v>208</v>
      </c>
      <c r="C285" s="26">
        <f>HYPERLINK("[P Only Old retention.xlsx]'Coastal N Reductions'!C16", 4988868.65233177)</f>
        <v>4988868.6523317704</v>
      </c>
      <c r="D285" s="26">
        <f>HYPERLINK("[P Only New retention.xlsx]'Coastal N Reductions'!C16", 4980150.70241499)</f>
        <v>4980150.7024149904</v>
      </c>
      <c r="E285" s="26">
        <f>HYPERLINK("[P Only with New retention and Differentiation.xlsx]'Coastal N Reductions'!C16", 4964850.8137383)</f>
        <v>4964850.8137383005</v>
      </c>
      <c r="F285" s="21">
        <f>D285-C285</f>
        <v>-8717.949916779995</v>
      </c>
      <c r="G285" s="22">
        <f>D285/C285-1</f>
        <v>-1.7474803456101196E-3</v>
      </c>
      <c r="H285" s="21">
        <f>E285-C285</f>
        <v>-24017.838593469933</v>
      </c>
      <c r="I285" s="22">
        <f>E285/C285-1</f>
        <v>-4.8142856160873215E-3</v>
      </c>
      <c r="J285" s="21">
        <f>E285-D285</f>
        <v>-15299.888676689938</v>
      </c>
      <c r="K285" s="22">
        <f>E285/D285-1</f>
        <v>-3.072173833870262E-3</v>
      </c>
      <c r="L285" s="27">
        <f>HYPERLINK("[P Only Old retention.xlsx]'Coastal N Reductions'!D16", 13.5031315057)</f>
        <v>13.503131505700001</v>
      </c>
      <c r="M285" s="27">
        <f>HYPERLINK("[P Only New retention.xlsx]'Coastal N Reductions'!D16", 15.0344157607686)</f>
        <v>15.034415760768599</v>
      </c>
      <c r="N285" s="27">
        <f>HYPERLINK("[P Only with New retention and Differentiation.xlsx]'Coastal N Reductions'!D16", 14.2949343426789)</f>
        <v>14.2949343426789</v>
      </c>
    </row>
    <row r="286" spans="1:14" x14ac:dyDescent="0.55000000000000004">
      <c r="A286" s="31">
        <v>120</v>
      </c>
      <c r="B286" s="5" t="s">
        <v>209</v>
      </c>
      <c r="C286" s="28">
        <f>HYPERLINK("[P Only Old retention.xlsx]'Coastal N Reductions'!C17", 4453291.83899907)</f>
        <v>4453291.8389990702</v>
      </c>
      <c r="D286" s="28">
        <f>HYPERLINK("[P Only New retention.xlsx]'Coastal N Reductions'!C17", 4453291.83899907)</f>
        <v>4453291.8389990702</v>
      </c>
      <c r="E286" s="28">
        <f>HYPERLINK("[P Only with New retention and Differentiation.xlsx]'Coastal N Reductions'!C17", 4453291.83899907)</f>
        <v>4453291.8389990702</v>
      </c>
      <c r="F286" s="13"/>
      <c r="G286" s="13"/>
      <c r="H286" s="13"/>
      <c r="I286" s="13"/>
      <c r="J286" s="13"/>
      <c r="K286" s="13"/>
      <c r="L286" s="29">
        <f>HYPERLINK("[P Only Old retention.xlsx]'Coastal N Reductions'!D17", 29.1210662261971)</f>
        <v>29.121066226197101</v>
      </c>
      <c r="M286" s="29">
        <f>HYPERLINK("[P Only New retention.xlsx]'Coastal N Reductions'!D17", 36.4739397908397)</f>
        <v>36.473939790839701</v>
      </c>
      <c r="N286" s="29">
        <f>HYPERLINK("[P Only with New retention and Differentiation.xlsx]'Coastal N Reductions'!D17", 33.8416908499281)</f>
        <v>33.841690849928099</v>
      </c>
    </row>
    <row r="287" spans="1:14" x14ac:dyDescent="0.55000000000000004">
      <c r="A287" s="30">
        <v>121</v>
      </c>
      <c r="B287" s="6" t="s">
        <v>210</v>
      </c>
      <c r="C287" s="26">
        <f>HYPERLINK("[P Only Old retention.xlsx]'Coastal N Reductions'!C18", 53628.4605013353)</f>
        <v>53628.460501335299</v>
      </c>
      <c r="D287" s="26">
        <f>HYPERLINK("[P Only New retention.xlsx]'Coastal N Reductions'!C18", 53628.4605013353)</f>
        <v>53628.460501335299</v>
      </c>
      <c r="E287" s="26">
        <f>HYPERLINK("[P Only with New retention and Differentiation.xlsx]'Coastal N Reductions'!C18", 53628.4605013353)</f>
        <v>53628.460501335299</v>
      </c>
      <c r="F287" s="13"/>
      <c r="G287" s="18"/>
      <c r="H287" s="13"/>
      <c r="I287" s="18"/>
      <c r="J287" s="13"/>
      <c r="K287" s="18"/>
      <c r="L287" s="27">
        <f>HYPERLINK("[P Only Old retention.xlsx]'Coastal N Reductions'!D18", 0.002249906)</f>
        <v>2.2499059999999999E-3</v>
      </c>
      <c r="M287" s="27">
        <f>HYPERLINK("[P Only New retention.xlsx]'Coastal N Reductions'!D18", 0.277205385582169)</f>
        <v>0.27720538558216901</v>
      </c>
      <c r="N287" s="27">
        <f>HYPERLINK("[P Only with New retention and Differentiation.xlsx]'Coastal N Reductions'!D18", 0.260486122278057)</f>
        <v>0.26048612227805701</v>
      </c>
    </row>
    <row r="288" spans="1:14" x14ac:dyDescent="0.55000000000000004">
      <c r="A288" s="31">
        <v>122</v>
      </c>
      <c r="B288" s="5" t="s">
        <v>211</v>
      </c>
      <c r="C288" s="28">
        <f>HYPERLINK("[P Only Old retention.xlsx]'Coastal N Reductions'!C19", 4247539.08456569)</f>
        <v>4247539.0845656898</v>
      </c>
      <c r="D288" s="28">
        <f>HYPERLINK("[P Only New retention.xlsx]'Coastal N Reductions'!C19", 4233895.40321988)</f>
        <v>4233895.4032198796</v>
      </c>
      <c r="E288" s="28">
        <f>HYPERLINK("[P Only with New retention and Differentiation.xlsx]'Coastal N Reductions'!C19", 4233929.55919008)</f>
        <v>4233929.5591900796</v>
      </c>
      <c r="F288" s="21">
        <f>D288-C288</f>
        <v>-13643.681345810182</v>
      </c>
      <c r="G288" s="22">
        <f>D288/C288-1</f>
        <v>-3.2121379166085706E-3</v>
      </c>
      <c r="H288" s="21">
        <f>E288-C288</f>
        <v>-13609.525375610217</v>
      </c>
      <c r="I288" s="22">
        <f>E288/C288-1</f>
        <v>-3.2040965614803518E-3</v>
      </c>
      <c r="J288" s="16">
        <f>E288-D288</f>
        <v>34.155970199964941</v>
      </c>
      <c r="K288" s="17">
        <f>E288/D288-1</f>
        <v>8.0672683067106732E-6</v>
      </c>
      <c r="L288" s="29">
        <f>HYPERLINK("[P Only Old retention.xlsx]'Coastal N Reductions'!D19", 21.4494598773862)</f>
        <v>21.4494598773862</v>
      </c>
      <c r="M288" s="29">
        <f>HYPERLINK("[P Only New retention.xlsx]'Coastal N Reductions'!D19", 21.4557720667525)</f>
        <v>21.455772066752498</v>
      </c>
      <c r="N288" s="29">
        <f>HYPERLINK("[P Only with New retention and Differentiation.xlsx]'Coastal N Reductions'!D19", 21.4557720667525)</f>
        <v>21.455772066752498</v>
      </c>
    </row>
    <row r="289" spans="1:14" x14ac:dyDescent="0.55000000000000004">
      <c r="A289" s="30">
        <v>123</v>
      </c>
      <c r="B289" s="6" t="s">
        <v>212</v>
      </c>
      <c r="C289" s="26">
        <f>HYPERLINK("[P Only Old retention.xlsx]'Coastal N Reductions'!C20", 105403.610726794)</f>
        <v>105403.610726794</v>
      </c>
      <c r="D289" s="26">
        <f>HYPERLINK("[P Only New retention.xlsx]'Coastal N Reductions'!C20", 107134.032319236)</f>
        <v>107134.03231923599</v>
      </c>
      <c r="E289" s="26">
        <f>HYPERLINK("[P Only with New retention and Differentiation.xlsx]'Coastal N Reductions'!C20", 106997.126705502)</f>
        <v>106997.126705502</v>
      </c>
      <c r="F289" s="16">
        <f>D289-C289</f>
        <v>1730.4215924419987</v>
      </c>
      <c r="G289" s="17">
        <f>D289/C289-1</f>
        <v>1.6417099760721143E-2</v>
      </c>
      <c r="H289" s="16">
        <f>E289-C289</f>
        <v>1593.5159787080047</v>
      </c>
      <c r="I289" s="17">
        <f>E289/C289-1</f>
        <v>1.5118229515290516E-2</v>
      </c>
      <c r="J289" s="21">
        <f>E289-D289</f>
        <v>-136.90561373399396</v>
      </c>
      <c r="K289" s="22">
        <f>E289/D289-1</f>
        <v>-1.2778909817008355E-3</v>
      </c>
      <c r="L289" s="27">
        <f>HYPERLINK("[P Only Old retention.xlsx]'Coastal N Reductions'!D20", 0.8679170184)</f>
        <v>0.86791701840000002</v>
      </c>
      <c r="M289" s="27">
        <f>HYPERLINK("[P Only New retention.xlsx]'Coastal N Reductions'!D20", 0.849761423385413)</f>
        <v>0.84976142338541305</v>
      </c>
      <c r="N289" s="27">
        <f>HYPERLINK("[P Only with New retention and Differentiation.xlsx]'Coastal N Reductions'!D20", 1.03301316359421)</f>
        <v>1.0330131635942099</v>
      </c>
    </row>
    <row r="290" spans="1:14" x14ac:dyDescent="0.55000000000000004">
      <c r="A290" s="31">
        <v>124</v>
      </c>
      <c r="B290" s="5" t="s">
        <v>213</v>
      </c>
      <c r="C290" s="28">
        <f>HYPERLINK("[P Only Old retention.xlsx]'Coastal N Reductions'!C21", 5936855.33350505)</f>
        <v>5936855.3335050503</v>
      </c>
      <c r="D290" s="28">
        <f>HYPERLINK("[P Only New retention.xlsx]'Coastal N Reductions'!C21", 5936855.33350505)</f>
        <v>5936855.3335050503</v>
      </c>
      <c r="E290" s="28">
        <f>HYPERLINK("[P Only with New retention and Differentiation.xlsx]'Coastal N Reductions'!C21", 5936855.33350505)</f>
        <v>5936855.3335050503</v>
      </c>
      <c r="F290" s="13"/>
      <c r="G290" s="13"/>
      <c r="H290" s="13"/>
      <c r="I290" s="13"/>
      <c r="J290" s="13"/>
      <c r="K290" s="13"/>
      <c r="L290" s="29">
        <f>HYPERLINK("[P Only Old retention.xlsx]'Coastal N Reductions'!D21", 34.7871516225577)</f>
        <v>34.787151622557701</v>
      </c>
      <c r="M290" s="29">
        <f>HYPERLINK("[P Only New retention.xlsx]'Coastal N Reductions'!D21", 31.9168086223214)</f>
        <v>31.916808622321401</v>
      </c>
      <c r="N290" s="29">
        <f>HYPERLINK("[P Only with New retention and Differentiation.xlsx]'Coastal N Reductions'!D21", 30.9983660415177)</f>
        <v>30.998366041517698</v>
      </c>
    </row>
    <row r="291" spans="1:14" x14ac:dyDescent="0.55000000000000004">
      <c r="A291" s="30">
        <v>125</v>
      </c>
      <c r="B291" s="6" t="s">
        <v>214</v>
      </c>
      <c r="C291" s="18"/>
      <c r="D291" s="18"/>
      <c r="E291" s="18"/>
      <c r="F291" s="13"/>
      <c r="G291" s="18"/>
      <c r="H291" s="13"/>
      <c r="I291" s="18"/>
      <c r="J291" s="13"/>
      <c r="K291" s="18"/>
      <c r="L291" s="18"/>
      <c r="M291" s="18"/>
      <c r="N291" s="18"/>
    </row>
    <row r="292" spans="1:14" x14ac:dyDescent="0.55000000000000004">
      <c r="A292" s="31">
        <v>127</v>
      </c>
      <c r="B292" s="5" t="s">
        <v>215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1:14" x14ac:dyDescent="0.55000000000000004">
      <c r="A293" s="30">
        <v>128</v>
      </c>
      <c r="B293" s="6" t="s">
        <v>216</v>
      </c>
      <c r="C293" s="26">
        <f>HYPERLINK("[P Only Old retention.xlsx]'Coastal N Reductions'!C24", 47250765.688614)</f>
        <v>47250765.688614003</v>
      </c>
      <c r="D293" s="26">
        <f>HYPERLINK("[P Only New retention.xlsx]'Coastal N Reductions'!C24", 47251056.488614)</f>
        <v>47251056.488614</v>
      </c>
      <c r="E293" s="26">
        <f>HYPERLINK("[P Only with New retention and Differentiation.xlsx]'Coastal N Reductions'!C24", 47251056.488614)</f>
        <v>47251056.488614</v>
      </c>
      <c r="F293" s="16">
        <f>D293-C293</f>
        <v>290.79999999701977</v>
      </c>
      <c r="G293" s="17">
        <f>D293/C293-1</f>
        <v>6.154397622193386E-6</v>
      </c>
      <c r="H293" s="16">
        <f>E293-C293</f>
        <v>290.79999999701977</v>
      </c>
      <c r="I293" s="17">
        <f>E293/C293-1</f>
        <v>6.154397622193386E-6</v>
      </c>
      <c r="J293" s="13"/>
      <c r="K293" s="18"/>
      <c r="L293" s="27">
        <f>HYPERLINK("[P Only Old retention.xlsx]'Coastal N Reductions'!D24", 362.231569441183)</f>
        <v>362.23156944118301</v>
      </c>
      <c r="M293" s="27">
        <f>HYPERLINK("[P Only New retention.xlsx]'Coastal N Reductions'!D24", 341.087606698371)</f>
        <v>341.08760669837102</v>
      </c>
      <c r="N293" s="27">
        <f>HYPERLINK("[P Only with New retention and Differentiation.xlsx]'Coastal N Reductions'!D24", 345.455494324811)</f>
        <v>345.45549432481101</v>
      </c>
    </row>
    <row r="294" spans="1:14" x14ac:dyDescent="0.55000000000000004">
      <c r="A294" s="31">
        <v>129</v>
      </c>
      <c r="B294" s="5" t="s">
        <v>217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1:14" x14ac:dyDescent="0.55000000000000004">
      <c r="A295" s="30">
        <v>130</v>
      </c>
      <c r="B295" s="6" t="s">
        <v>218</v>
      </c>
      <c r="C295" s="18"/>
      <c r="D295" s="18"/>
      <c r="E295" s="18"/>
      <c r="F295" s="13"/>
      <c r="G295" s="18"/>
      <c r="H295" s="13"/>
      <c r="I295" s="18"/>
      <c r="J295" s="13"/>
      <c r="K295" s="18"/>
      <c r="L295" s="18"/>
      <c r="M295" s="18"/>
      <c r="N295" s="18"/>
    </row>
    <row r="296" spans="1:14" x14ac:dyDescent="0.55000000000000004">
      <c r="A296" s="31">
        <v>131</v>
      </c>
      <c r="B296" s="5" t="s">
        <v>219</v>
      </c>
      <c r="C296" s="28">
        <f>HYPERLINK("[P Only Old retention.xlsx]'Coastal N Reductions'!C27", 1879656.82693766)</f>
        <v>1879656.8269376601</v>
      </c>
      <c r="D296" s="28">
        <f>HYPERLINK("[P Only New retention.xlsx]'Coastal N Reductions'!C27", 1879656.82693766)</f>
        <v>1879656.8269376601</v>
      </c>
      <c r="E296" s="28">
        <f>HYPERLINK("[P Only with New retention and Differentiation.xlsx]'Coastal N Reductions'!C27", 1879656.82693766)</f>
        <v>1879656.8269376601</v>
      </c>
      <c r="F296" s="13"/>
      <c r="G296" s="13"/>
      <c r="H296" s="13"/>
      <c r="I296" s="13"/>
      <c r="J296" s="13"/>
      <c r="K296" s="13"/>
      <c r="L296" s="29">
        <f>HYPERLINK("[P Only Old retention.xlsx]'Coastal N Reductions'!D27", 0.196097316199673)</f>
        <v>0.19609731619967299</v>
      </c>
      <c r="M296" s="29">
        <f>HYPERLINK("[P Only New retention.xlsx]'Coastal N Reductions'!D27", 0.212228419421947)</f>
        <v>0.21222841942194701</v>
      </c>
      <c r="N296" s="29">
        <f>HYPERLINK("[P Only with New retention and Differentiation.xlsx]'Coastal N Reductions'!D27", 0.212228419421947)</f>
        <v>0.21222841942194701</v>
      </c>
    </row>
    <row r="297" spans="1:14" x14ac:dyDescent="0.55000000000000004">
      <c r="A297" s="30">
        <v>132</v>
      </c>
      <c r="B297" s="6" t="s">
        <v>220</v>
      </c>
      <c r="C297" s="26">
        <f>HYPERLINK("[P Only Old retention.xlsx]'Coastal N Reductions'!C28", 74829.2611289708)</f>
        <v>74829.2611289708</v>
      </c>
      <c r="D297" s="26">
        <f>HYPERLINK("[P Only New retention.xlsx]'Coastal N Reductions'!C28", 74485.572845424)</f>
        <v>74485.572845424002</v>
      </c>
      <c r="E297" s="26">
        <f>HYPERLINK("[P Only with New retention and Differentiation.xlsx]'Coastal N Reductions'!C28", 74485.572845424)</f>
        <v>74485.572845424002</v>
      </c>
      <c r="F297" s="21">
        <f>D297-C297</f>
        <v>-343.68828354679863</v>
      </c>
      <c r="G297" s="22">
        <f>D297/C297-1</f>
        <v>-4.5929664193053998E-3</v>
      </c>
      <c r="H297" s="21">
        <f>E297-C297</f>
        <v>-343.68828354679863</v>
      </c>
      <c r="I297" s="22">
        <f>E297/C297-1</f>
        <v>-4.5929664193053998E-3</v>
      </c>
      <c r="J297" s="13"/>
      <c r="K297" s="18"/>
      <c r="L297" s="18"/>
      <c r="M297" s="18"/>
      <c r="N297" s="18"/>
    </row>
    <row r="298" spans="1:14" x14ac:dyDescent="0.55000000000000004">
      <c r="A298" s="31">
        <v>133</v>
      </c>
      <c r="B298" s="5" t="s">
        <v>221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1:14" x14ac:dyDescent="0.55000000000000004">
      <c r="A299" s="30">
        <v>136</v>
      </c>
      <c r="B299" s="6" t="s">
        <v>222</v>
      </c>
      <c r="C299" s="26">
        <f>HYPERLINK("[P Only Old retention.xlsx]'Coastal N Reductions'!C30", 69271910.638121)</f>
        <v>69271910.638120994</v>
      </c>
      <c r="D299" s="26">
        <f>HYPERLINK("[P Only New retention.xlsx]'Coastal N Reductions'!C30", 69245954.6587215)</f>
        <v>69245954.658721507</v>
      </c>
      <c r="E299" s="26">
        <f>HYPERLINK("[P Only with New retention and Differentiation.xlsx]'Coastal N Reductions'!C30", 69245936.2935282)</f>
        <v>69245936.293528199</v>
      </c>
      <c r="F299" s="21">
        <f>D299-C299</f>
        <v>-25955.979399487376</v>
      </c>
      <c r="G299" s="22">
        <f>D299/C299-1</f>
        <v>-3.7469703318970815E-4</v>
      </c>
      <c r="H299" s="21">
        <f>E299-C299</f>
        <v>-25974.344592794776</v>
      </c>
      <c r="I299" s="22">
        <f>E299/C299-1</f>
        <v>-3.7496215065424554E-4</v>
      </c>
      <c r="J299" s="21">
        <f>E299-D299</f>
        <v>-18.36519330739975</v>
      </c>
      <c r="K299" s="22">
        <f>E299/D299-1</f>
        <v>-2.6521684037827953E-7</v>
      </c>
      <c r="L299" s="27">
        <f>HYPERLINK("[P Only Old retention.xlsx]'Coastal N Reductions'!D30", 175.283256567646)</f>
        <v>175.28325656764599</v>
      </c>
      <c r="M299" s="27">
        <f>HYPERLINK("[P Only New retention.xlsx]'Coastal N Reductions'!D30", 299.059984633026)</f>
        <v>299.05998463302598</v>
      </c>
      <c r="N299" s="27">
        <f>HYPERLINK("[P Only with New retention and Differentiation.xlsx]'Coastal N Reductions'!D30", 299.700581431851)</f>
        <v>299.70058143185099</v>
      </c>
    </row>
    <row r="300" spans="1:14" x14ac:dyDescent="0.55000000000000004">
      <c r="A300" s="31">
        <v>137</v>
      </c>
      <c r="B300" s="5" t="s">
        <v>223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1:14" x14ac:dyDescent="0.55000000000000004">
      <c r="A301" s="30">
        <v>138</v>
      </c>
      <c r="B301" s="6" t="s">
        <v>224</v>
      </c>
      <c r="C301" s="18"/>
      <c r="D301" s="18"/>
      <c r="E301" s="18"/>
      <c r="F301" s="13"/>
      <c r="G301" s="18"/>
      <c r="H301" s="13"/>
      <c r="I301" s="18"/>
      <c r="J301" s="13"/>
      <c r="K301" s="18"/>
      <c r="L301" s="18"/>
      <c r="M301" s="18"/>
      <c r="N301" s="18"/>
    </row>
    <row r="302" spans="1:14" x14ac:dyDescent="0.55000000000000004">
      <c r="A302" s="31">
        <v>139</v>
      </c>
      <c r="B302" s="5" t="s">
        <v>225</v>
      </c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1:14" x14ac:dyDescent="0.55000000000000004">
      <c r="A303" s="30">
        <v>140</v>
      </c>
      <c r="B303" s="6" t="s">
        <v>226</v>
      </c>
      <c r="C303" s="26">
        <f>HYPERLINK("[P Only Old retention.xlsx]'Coastal N Reductions'!C34", 40661.9574421503)</f>
        <v>40661.957442150298</v>
      </c>
      <c r="D303" s="26">
        <f>HYPERLINK("[P Only New retention.xlsx]'Coastal N Reductions'!C34", 40661.9574421503)</f>
        <v>40661.957442150298</v>
      </c>
      <c r="E303" s="26">
        <f>HYPERLINK("[P Only with New retention and Differentiation.xlsx]'Coastal N Reductions'!C34", 39789.5574421503)</f>
        <v>39789.557442150297</v>
      </c>
      <c r="F303" s="13"/>
      <c r="G303" s="18"/>
      <c r="H303" s="21">
        <f>E303-C303</f>
        <v>-872.40000000000146</v>
      </c>
      <c r="I303" s="22">
        <f>E303/C303-1</f>
        <v>-2.1454943511786451E-2</v>
      </c>
      <c r="J303" s="21">
        <f>E303-D303</f>
        <v>-872.40000000000146</v>
      </c>
      <c r="K303" s="22">
        <f>E303/D303-1</f>
        <v>-2.1454943511786451E-2</v>
      </c>
      <c r="L303" s="18"/>
      <c r="M303" s="18"/>
      <c r="N303" s="18"/>
    </row>
    <row r="304" spans="1:14" x14ac:dyDescent="0.55000000000000004">
      <c r="A304" s="31">
        <v>141</v>
      </c>
      <c r="B304" s="5" t="s">
        <v>227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1:14" x14ac:dyDescent="0.55000000000000004">
      <c r="A305" s="30">
        <v>142</v>
      </c>
      <c r="B305" s="6" t="s">
        <v>228</v>
      </c>
      <c r="C305" s="18"/>
      <c r="D305" s="18"/>
      <c r="E305" s="18"/>
      <c r="F305" s="13"/>
      <c r="G305" s="18"/>
      <c r="H305" s="13"/>
      <c r="I305" s="18"/>
      <c r="J305" s="13"/>
      <c r="K305" s="18"/>
      <c r="L305" s="18"/>
      <c r="M305" s="18"/>
      <c r="N305" s="18"/>
    </row>
    <row r="306" spans="1:14" x14ac:dyDescent="0.55000000000000004">
      <c r="A306" s="31">
        <v>144</v>
      </c>
      <c r="B306" s="5" t="s">
        <v>229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1:14" x14ac:dyDescent="0.55000000000000004">
      <c r="A307" s="30">
        <v>145</v>
      </c>
      <c r="B307" s="6" t="s">
        <v>230</v>
      </c>
      <c r="C307" s="18"/>
      <c r="D307" s="18"/>
      <c r="E307" s="18"/>
      <c r="F307" s="13"/>
      <c r="G307" s="18"/>
      <c r="H307" s="13"/>
      <c r="I307" s="18"/>
      <c r="J307" s="13"/>
      <c r="K307" s="18"/>
      <c r="L307" s="18"/>
      <c r="M307" s="18"/>
      <c r="N307" s="18"/>
    </row>
    <row r="308" spans="1:14" x14ac:dyDescent="0.55000000000000004">
      <c r="A308" s="31">
        <v>146</v>
      </c>
      <c r="B308" s="5" t="s">
        <v>231</v>
      </c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1:14" x14ac:dyDescent="0.55000000000000004">
      <c r="A309" s="30">
        <v>147</v>
      </c>
      <c r="B309" s="6" t="s">
        <v>232</v>
      </c>
      <c r="C309" s="26">
        <f>HYPERLINK("[P Only Old retention.xlsx]'Coastal N Reductions'!C40", 5676839.41078426)</f>
        <v>5676839.4107842604</v>
      </c>
      <c r="D309" s="26">
        <f>HYPERLINK("[P Only New retention.xlsx]'Coastal N Reductions'!C40", 5675910.97919821)</f>
        <v>5675910.9791982099</v>
      </c>
      <c r="E309" s="26">
        <f>HYPERLINK("[P Only with New retention and Differentiation.xlsx]'Coastal N Reductions'!C40", 5675830.97919821)</f>
        <v>5675830.9791982099</v>
      </c>
      <c r="F309" s="21">
        <f>D309-C309</f>
        <v>-928.43158605042845</v>
      </c>
      <c r="G309" s="22">
        <f>D309/C309-1</f>
        <v>-1.6354726968081934E-4</v>
      </c>
      <c r="H309" s="21">
        <f>E309-C309</f>
        <v>-1008.4315860504285</v>
      </c>
      <c r="I309" s="22">
        <f>E309/C309-1</f>
        <v>-1.7763961829442287E-4</v>
      </c>
      <c r="J309" s="21">
        <f>E309-D309</f>
        <v>-80</v>
      </c>
      <c r="K309" s="22">
        <f>E309/D309-1</f>
        <v>-1.4094653755680753E-5</v>
      </c>
      <c r="L309" s="27">
        <f>HYPERLINK("[P Only Old retention.xlsx]'Coastal N Reductions'!D40", 21.1125782691156)</f>
        <v>21.112578269115598</v>
      </c>
      <c r="M309" s="27">
        <f>HYPERLINK("[P Only New retention.xlsx]'Coastal N Reductions'!D40", 20.547474967496)</f>
        <v>20.547474967496001</v>
      </c>
      <c r="N309" s="27">
        <f>HYPERLINK("[P Only with New retention and Differentiation.xlsx]'Coastal N Reductions'!D40", 20.5622105270372)</f>
        <v>20.562210527037202</v>
      </c>
    </row>
    <row r="310" spans="1:14" x14ac:dyDescent="0.55000000000000004">
      <c r="A310" s="31">
        <v>154</v>
      </c>
      <c r="B310" s="5" t="s">
        <v>233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1:14" x14ac:dyDescent="0.55000000000000004">
      <c r="A311" s="30">
        <v>157</v>
      </c>
      <c r="B311" s="6" t="s">
        <v>234</v>
      </c>
      <c r="C311" s="26">
        <f>HYPERLINK("[P Only Old retention.xlsx]'Coastal N Reductions'!C42", 92414.5211493615)</f>
        <v>92414.521149361506</v>
      </c>
      <c r="D311" s="26">
        <f>HYPERLINK("[P Only New retention.xlsx]'Coastal N Reductions'!C42", 92563.0637688156)</f>
        <v>92563.063768815598</v>
      </c>
      <c r="E311" s="26">
        <f>HYPERLINK("[P Only with New retention and Differentiation.xlsx]'Coastal N Reductions'!C42", 91847.7211493615)</f>
        <v>91847.721149361503</v>
      </c>
      <c r="F311" s="16">
        <f>D311-C311</f>
        <v>148.54261945409235</v>
      </c>
      <c r="G311" s="17">
        <f>D311/C311-1</f>
        <v>1.6073515028445229E-3</v>
      </c>
      <c r="H311" s="21">
        <f>E311-C311</f>
        <v>-566.80000000000291</v>
      </c>
      <c r="I311" s="22">
        <f>E311/C311-1</f>
        <v>-6.133235263795056E-3</v>
      </c>
      <c r="J311" s="21">
        <f>E311-D311</f>
        <v>-715.34261945409526</v>
      </c>
      <c r="K311" s="22">
        <f>E311/D311-1</f>
        <v>-7.7281648891908139E-3</v>
      </c>
      <c r="L311" s="27">
        <f>HYPERLINK("[P Only Old retention.xlsx]'Coastal N Reductions'!D42", 0.7621720164)</f>
        <v>0.76217201639999999</v>
      </c>
      <c r="M311" s="27">
        <f>HYPERLINK("[P Only New retention.xlsx]'Coastal N Reductions'!D42", 0.293447282384973)</f>
        <v>0.29344728238497297</v>
      </c>
      <c r="N311" s="27">
        <f>HYPERLINK("[P Only with New retention and Differentiation.xlsx]'Coastal N Reductions'!D42", 0.290349326234669)</f>
        <v>0.29034932623466903</v>
      </c>
    </row>
    <row r="312" spans="1:14" x14ac:dyDescent="0.55000000000000004">
      <c r="A312" s="31">
        <v>158</v>
      </c>
      <c r="B312" s="5" t="s">
        <v>235</v>
      </c>
      <c r="C312" s="28">
        <f>HYPERLINK("[P Only Old retention.xlsx]'Coastal N Reductions'!C43", 4940323.307268)</f>
        <v>4940323.3072680002</v>
      </c>
      <c r="D312" s="28">
        <f>HYPERLINK("[P Only New retention.xlsx]'Coastal N Reductions'!C43", 4940032.507268)</f>
        <v>4940032.5072680004</v>
      </c>
      <c r="E312" s="28">
        <f>HYPERLINK("[P Only with New retention and Differentiation.xlsx]'Coastal N Reductions'!C43", 4940032.507268)</f>
        <v>4940032.5072680004</v>
      </c>
      <c r="F312" s="21">
        <f>D312-C312</f>
        <v>-290.79999999981374</v>
      </c>
      <c r="G312" s="22">
        <f>D312/C312-1</f>
        <v>-5.8862544395021921E-5</v>
      </c>
      <c r="H312" s="21">
        <f>E312-C312</f>
        <v>-290.79999999981374</v>
      </c>
      <c r="I312" s="22">
        <f>E312/C312-1</f>
        <v>-5.8862544395021921E-5</v>
      </c>
      <c r="J312" s="13"/>
      <c r="K312" s="13"/>
      <c r="L312" s="29">
        <f>HYPERLINK("[P Only Old retention.xlsx]'Coastal N Reductions'!D43", 12.2123059673069)</f>
        <v>12.2123059673069</v>
      </c>
      <c r="M312" s="29">
        <f>HYPERLINK("[P Only New retention.xlsx]'Coastal N Reductions'!D43", 13.7902586987969)</f>
        <v>13.790258698796899</v>
      </c>
      <c r="N312" s="29">
        <f>HYPERLINK("[P Only with New retention and Differentiation.xlsx]'Coastal N Reductions'!D43", 13.7902586987969)</f>
        <v>13.790258698796899</v>
      </c>
    </row>
    <row r="313" spans="1:14" x14ac:dyDescent="0.55000000000000004">
      <c r="A313" s="30">
        <v>159</v>
      </c>
      <c r="B313" s="6" t="s">
        <v>236</v>
      </c>
      <c r="C313" s="26">
        <f>HYPERLINK("[P Only Old retention.xlsx]'Coastal N Reductions'!C44", 2979865.85525191)</f>
        <v>2979865.8552519102</v>
      </c>
      <c r="D313" s="26">
        <f>HYPERLINK("[P Only New retention.xlsx]'Coastal N Reductions'!C44", 2979865.85525191)</f>
        <v>2979865.8552519102</v>
      </c>
      <c r="E313" s="26">
        <f>HYPERLINK("[P Only with New retention and Differentiation.xlsx]'Coastal N Reductions'!C44", 2979865.85525191)</f>
        <v>2979865.8552519102</v>
      </c>
      <c r="F313" s="13"/>
      <c r="G313" s="18"/>
      <c r="H313" s="13"/>
      <c r="I313" s="18"/>
      <c r="J313" s="13"/>
      <c r="K313" s="18"/>
      <c r="L313" s="27">
        <f>HYPERLINK("[P Only Old retention.xlsx]'Coastal N Reductions'!D44", 18.1490126339011)</f>
        <v>18.149012633901101</v>
      </c>
      <c r="M313" s="27">
        <f>HYPERLINK("[P Only New retention.xlsx]'Coastal N Reductions'!D44", 32.4408379343744)</f>
        <v>32.4408379343744</v>
      </c>
      <c r="N313" s="27">
        <f>HYPERLINK("[P Only with New retention and Differentiation.xlsx]'Coastal N Reductions'!D44", 32.4408379343744)</f>
        <v>32.4408379343744</v>
      </c>
    </row>
    <row r="314" spans="1:14" x14ac:dyDescent="0.55000000000000004">
      <c r="A314" s="31">
        <v>160</v>
      </c>
      <c r="B314" s="5" t="s">
        <v>237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1:14" x14ac:dyDescent="0.55000000000000004">
      <c r="A315" s="30">
        <v>165</v>
      </c>
      <c r="B315" s="6" t="s">
        <v>238</v>
      </c>
      <c r="C315" s="26">
        <f>HYPERLINK("[P Only Old retention.xlsx]'Coastal N Reductions'!C47", 72531.7187986408)</f>
        <v>72531.718798640795</v>
      </c>
      <c r="D315" s="26">
        <f>HYPERLINK("[P Only New retention.xlsx]'Coastal N Reductions'!C47", 73633.3187986408)</f>
        <v>73633.318798640801</v>
      </c>
      <c r="E315" s="26">
        <f>HYPERLINK("[P Only with New retention and Differentiation.xlsx]'Coastal N Reductions'!C47", 71568.7187986408)</f>
        <v>71568.718798640795</v>
      </c>
      <c r="F315" s="16">
        <f>D315-C315</f>
        <v>1101.6000000000058</v>
      </c>
      <c r="G315" s="17">
        <f>D315/C315-1</f>
        <v>1.5187838069275816E-2</v>
      </c>
      <c r="H315" s="21">
        <f>E315-C315</f>
        <v>-963</v>
      </c>
      <c r="I315" s="22">
        <f>E315/C315-1</f>
        <v>-1.3276949946180561E-2</v>
      </c>
      <c r="J315" s="21">
        <f>E315-D315</f>
        <v>-2064.6000000000058</v>
      </c>
      <c r="K315" s="22">
        <f>E315/D315-1</f>
        <v>-2.8038937177962908E-2</v>
      </c>
      <c r="L315" s="27">
        <f>HYPERLINK("[P Only Old retention.xlsx]'Coastal N Reductions'!D47", 0.215232)</f>
        <v>0.21523200000000001</v>
      </c>
      <c r="M315" s="27">
        <f>HYPERLINK("[P Only New retention.xlsx]'Coastal N Reductions'!D47", 0.215232)</f>
        <v>0.21523200000000001</v>
      </c>
      <c r="N315" s="27">
        <f>HYPERLINK("[P Only with New retention and Differentiation.xlsx]'Coastal N Reductions'!D47", 0.215232)</f>
        <v>0.21523200000000001</v>
      </c>
    </row>
    <row r="316" spans="1:14" x14ac:dyDescent="0.55000000000000004">
      <c r="A316" s="31">
        <v>200</v>
      </c>
      <c r="B316" s="5" t="s">
        <v>239</v>
      </c>
      <c r="C316" s="28">
        <f>HYPERLINK("[P Only Old retention.xlsx]'Coastal N Reductions'!C51", 265573.486834855)</f>
        <v>265573.48683485499</v>
      </c>
      <c r="D316" s="28">
        <f>HYPERLINK("[P Only New retention.xlsx]'Coastal N Reductions'!C51", 265299.286834855)</f>
        <v>265299.28683485498</v>
      </c>
      <c r="E316" s="28">
        <f>HYPERLINK("[P Only with New retention and Differentiation.xlsx]'Coastal N Reductions'!C51", 265299.286834855)</f>
        <v>265299.28683485498</v>
      </c>
      <c r="F316" s="21">
        <f>D316-C316</f>
        <v>-274.20000000001164</v>
      </c>
      <c r="G316" s="22">
        <f>D316/C316-1</f>
        <v>-1.0324825842669139E-3</v>
      </c>
      <c r="H316" s="21">
        <f>E316-C316</f>
        <v>-274.20000000001164</v>
      </c>
      <c r="I316" s="22">
        <f>E316/C316-1</f>
        <v>-1.0324825842669139E-3</v>
      </c>
      <c r="J316" s="13"/>
      <c r="K316" s="13"/>
      <c r="L316" s="29">
        <f>HYPERLINK("[P Only Old retention.xlsx]'Coastal N Reductions'!D51", 0.4284971606)</f>
        <v>0.42849716059999998</v>
      </c>
      <c r="M316" s="29">
        <f>HYPERLINK("[P Only New retention.xlsx]'Coastal N Reductions'!D51", 0.448100880918463)</f>
        <v>0.44810088091846301</v>
      </c>
      <c r="N316" s="29">
        <f>HYPERLINK("[P Only with New retention and Differentiation.xlsx]'Coastal N Reductions'!D51", 0.470619914907215)</f>
        <v>0.470619914907215</v>
      </c>
    </row>
    <row r="317" spans="1:14" x14ac:dyDescent="0.55000000000000004">
      <c r="A317" s="30">
        <v>201</v>
      </c>
      <c r="B317" s="6" t="s">
        <v>240</v>
      </c>
      <c r="C317" s="26">
        <f>HYPERLINK("[P Only Old retention.xlsx]'Coastal N Reductions'!C52", 3674342.60870451)</f>
        <v>3674342.6087045101</v>
      </c>
      <c r="D317" s="26">
        <f>HYPERLINK("[P Only New retention.xlsx]'Coastal N Reductions'!C52", 3674342.60870451)</f>
        <v>3674342.6087045101</v>
      </c>
      <c r="E317" s="26">
        <f>HYPERLINK("[P Only with New retention and Differentiation.xlsx]'Coastal N Reductions'!C52", 3674342.60870451)</f>
        <v>3674342.6087045101</v>
      </c>
      <c r="F317" s="13"/>
      <c r="G317" s="18"/>
      <c r="H317" s="13"/>
      <c r="I317" s="18"/>
      <c r="J317" s="13"/>
      <c r="K317" s="18"/>
      <c r="L317" s="27">
        <f>HYPERLINK("[P Only Old retention.xlsx]'Coastal N Reductions'!D52", 0.3034005)</f>
        <v>0.30340050000000002</v>
      </c>
      <c r="M317" s="27">
        <f>HYPERLINK("[P Only New retention.xlsx]'Coastal N Reductions'!D52", 0.3034005)</f>
        <v>0.30340050000000002</v>
      </c>
      <c r="N317" s="27">
        <f>HYPERLINK("[P Only with New retention and Differentiation.xlsx]'Coastal N Reductions'!D52", 0.3034005)</f>
        <v>0.30340050000000002</v>
      </c>
    </row>
    <row r="318" spans="1:14" x14ac:dyDescent="0.55000000000000004">
      <c r="A318" s="31">
        <v>204</v>
      </c>
      <c r="B318" s="5" t="s">
        <v>241</v>
      </c>
      <c r="C318" s="28">
        <f>HYPERLINK("[P Only Old retention.xlsx]'Coastal N Reductions'!C53", 1790086.82799149)</f>
        <v>1790086.82799149</v>
      </c>
      <c r="D318" s="28">
        <f>HYPERLINK("[P Only New retention.xlsx]'Coastal N Reductions'!C53", 1789579.68285771)</f>
        <v>1789579.6828577099</v>
      </c>
      <c r="E318" s="28">
        <f>HYPERLINK("[P Only with New retention and Differentiation.xlsx]'Coastal N Reductions'!C53", 1789092.49728811)</f>
        <v>1789092.49728811</v>
      </c>
      <c r="F318" s="21">
        <f>D318-C318</f>
        <v>-507.14513378008269</v>
      </c>
      <c r="G318" s="22">
        <f>D318/C318-1</f>
        <v>-2.8330756131478285E-4</v>
      </c>
      <c r="H318" s="21">
        <f>E318-C318</f>
        <v>-994.330703380052</v>
      </c>
      <c r="I318" s="22">
        <f>E318/C318-1</f>
        <v>-5.5546506897419246E-4</v>
      </c>
      <c r="J318" s="21">
        <f>E318-D318</f>
        <v>-487.18556959996931</v>
      </c>
      <c r="K318" s="22">
        <f>E318/D318-1</f>
        <v>-2.722346337895587E-4</v>
      </c>
      <c r="L318" s="29">
        <f>HYPERLINK("[P Only Old retention.xlsx]'Coastal N Reductions'!D53", 0.808578523094428)</f>
        <v>0.80857852309442801</v>
      </c>
      <c r="M318" s="29">
        <f>HYPERLINK("[P Only New retention.xlsx]'Coastal N Reductions'!D53", 1.69663378348279)</f>
        <v>1.69663378348279</v>
      </c>
      <c r="N318" s="29">
        <f>HYPERLINK("[P Only with New retention and Differentiation.xlsx]'Coastal N Reductions'!D53", 1.97556706341163)</f>
        <v>1.97556706341163</v>
      </c>
    </row>
    <row r="319" spans="1:14" x14ac:dyDescent="0.55000000000000004">
      <c r="A319" s="30">
        <v>205</v>
      </c>
      <c r="B319" s="6"/>
      <c r="C319" s="18"/>
      <c r="D319" s="18"/>
      <c r="E319" s="18"/>
      <c r="F319" s="13"/>
      <c r="G319" s="18"/>
      <c r="H319" s="13"/>
      <c r="I319" s="18"/>
      <c r="J319" s="13"/>
      <c r="K319" s="18"/>
      <c r="L319" s="18"/>
      <c r="M319" s="18"/>
      <c r="N319" s="18"/>
    </row>
    <row r="320" spans="1:14" x14ac:dyDescent="0.55000000000000004">
      <c r="A320" s="31">
        <v>206</v>
      </c>
      <c r="B320" s="5" t="s">
        <v>242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1:14" x14ac:dyDescent="0.55000000000000004">
      <c r="A321" s="30">
        <v>207</v>
      </c>
      <c r="B321" s="6" t="s">
        <v>243</v>
      </c>
      <c r="C321" s="26">
        <f>HYPERLINK("[P Only Old retention.xlsx]'Coastal N Reductions'!C56", 457194.283275772)</f>
        <v>457194.283275772</v>
      </c>
      <c r="D321" s="26">
        <f>HYPERLINK("[P Only New retention.xlsx]'Coastal N Reductions'!C56", 463591.883275772)</f>
        <v>463591.88327577198</v>
      </c>
      <c r="E321" s="26">
        <f>HYPERLINK("[P Only with New retention and Differentiation.xlsx]'Coastal N Reductions'!C56", 463591.883275772)</f>
        <v>463591.88327577198</v>
      </c>
      <c r="F321" s="16">
        <f>D321-C321</f>
        <v>6397.5999999999767</v>
      </c>
      <c r="G321" s="17">
        <f>D321/C321-1</f>
        <v>1.3993175842360817E-2</v>
      </c>
      <c r="H321" s="16">
        <f>E321-C321</f>
        <v>6397.5999999999767</v>
      </c>
      <c r="I321" s="17">
        <f>E321/C321-1</f>
        <v>1.3993175842360817E-2</v>
      </c>
      <c r="J321" s="13"/>
      <c r="K321" s="18"/>
      <c r="L321" s="18"/>
      <c r="M321" s="18"/>
      <c r="N321" s="18"/>
    </row>
    <row r="322" spans="1:14" x14ac:dyDescent="0.55000000000000004">
      <c r="A322" s="31">
        <v>208</v>
      </c>
      <c r="B322" s="5" t="s">
        <v>244</v>
      </c>
      <c r="C322" s="28">
        <f>HYPERLINK("[P Only Old retention.xlsx]'Coastal N Reductions'!C57", 290.8)</f>
        <v>290.8</v>
      </c>
      <c r="D322" s="28">
        <f>HYPERLINK("[P Only New retention.xlsx]'Coastal N Reductions'!C57", 290.8)</f>
        <v>290.8</v>
      </c>
      <c r="E322" s="28">
        <f>HYPERLINK("[P Only with New retention and Differentiation.xlsx]'Coastal N Reductions'!C57", 290.8)</f>
        <v>290.8</v>
      </c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1:14" x14ac:dyDescent="0.55000000000000004">
      <c r="A323" s="30">
        <v>209</v>
      </c>
      <c r="B323" s="6" t="s">
        <v>245</v>
      </c>
      <c r="C323" s="26">
        <f>HYPERLINK("[P Only Old retention.xlsx]'Coastal N Reductions'!C58", 42353.8402720367)</f>
        <v>42353.840272036701</v>
      </c>
      <c r="D323" s="26">
        <f>HYPERLINK("[P Only New retention.xlsx]'Coastal N Reductions'!C58", 42701.8402720367)</f>
        <v>42701.840272036701</v>
      </c>
      <c r="E323" s="26">
        <f>HYPERLINK("[P Only with New retention and Differentiation.xlsx]'Coastal N Reductions'!C58", 42701.8402720367)</f>
        <v>42701.840272036701</v>
      </c>
      <c r="F323" s="16">
        <f>D323-C323</f>
        <v>348</v>
      </c>
      <c r="G323" s="17">
        <f>D323/C323-1</f>
        <v>8.2164922416672059E-3</v>
      </c>
      <c r="H323" s="16">
        <f>E323-C323</f>
        <v>348</v>
      </c>
      <c r="I323" s="17">
        <f>E323/C323-1</f>
        <v>8.2164922416672059E-3</v>
      </c>
      <c r="J323" s="13"/>
      <c r="K323" s="18"/>
      <c r="L323" s="27">
        <f>HYPERLINK("[P Only Old retention.xlsx]'Coastal N Reductions'!D58", 0.143488)</f>
        <v>0.143488</v>
      </c>
      <c r="M323" s="27">
        <f>HYPERLINK("[P Only New retention.xlsx]'Coastal N Reductions'!D58", 0.143488)</f>
        <v>0.143488</v>
      </c>
      <c r="N323" s="27">
        <f>HYPERLINK("[P Only with New retention and Differentiation.xlsx]'Coastal N Reductions'!D58", 0.143488)</f>
        <v>0.143488</v>
      </c>
    </row>
    <row r="324" spans="1:14" x14ac:dyDescent="0.55000000000000004">
      <c r="A324" s="31">
        <v>212</v>
      </c>
      <c r="B324" s="5" t="s">
        <v>246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1:14" x14ac:dyDescent="0.55000000000000004">
      <c r="A325" s="30">
        <v>214</v>
      </c>
      <c r="B325" s="6" t="s">
        <v>247</v>
      </c>
      <c r="C325" s="26">
        <f>HYPERLINK("[P Only Old retention.xlsx]'Coastal N Reductions'!C60", 5305435.99729349)</f>
        <v>5305435.99729349</v>
      </c>
      <c r="D325" s="26">
        <f>HYPERLINK("[P Only New retention.xlsx]'Coastal N Reductions'!C60", 5307716.4350332)</f>
        <v>5307716.4350332003</v>
      </c>
      <c r="E325" s="26">
        <f>HYPERLINK("[P Only with New retention and Differentiation.xlsx]'Coastal N Reductions'!C60", 5307716.4350332)</f>
        <v>5307716.4350332003</v>
      </c>
      <c r="F325" s="16">
        <f>D325-C325</f>
        <v>2280.4377397103235</v>
      </c>
      <c r="G325" s="17">
        <f>D325/C325-1</f>
        <v>4.2983041184063708E-4</v>
      </c>
      <c r="H325" s="16">
        <f>E325-C325</f>
        <v>2280.4377397103235</v>
      </c>
      <c r="I325" s="17">
        <f>E325/C325-1</f>
        <v>4.2983041184063708E-4</v>
      </c>
      <c r="J325" s="13"/>
      <c r="K325" s="18"/>
      <c r="L325" s="27">
        <f>HYPERLINK("[P Only Old retention.xlsx]'Coastal N Reductions'!D60", 19.5800495794992)</f>
        <v>19.5800495794992</v>
      </c>
      <c r="M325" s="27">
        <f>HYPERLINK("[P Only New retention.xlsx]'Coastal N Reductions'!D60", 18.787615405276)</f>
        <v>18.787615405276</v>
      </c>
      <c r="N325" s="27">
        <f>HYPERLINK("[P Only with New retention and Differentiation.xlsx]'Coastal N Reductions'!D60", 18.7953804069608)</f>
        <v>18.795380406960799</v>
      </c>
    </row>
    <row r="326" spans="1:14" x14ac:dyDescent="0.55000000000000004">
      <c r="A326" s="31">
        <v>216</v>
      </c>
      <c r="B326" s="5" t="s">
        <v>248</v>
      </c>
      <c r="C326" s="28">
        <f>HYPERLINK("[P Only Old retention.xlsx]'Coastal N Reductions'!C61", 2967616.98988041)</f>
        <v>2967616.98988041</v>
      </c>
      <c r="D326" s="28">
        <f>HYPERLINK("[P Only New retention.xlsx]'Coastal N Reductions'!C61", 2967616.98988041)</f>
        <v>2967616.98988041</v>
      </c>
      <c r="E326" s="28">
        <f>HYPERLINK("[P Only with New retention and Differentiation.xlsx]'Coastal N Reductions'!C61", 2967616.98988041)</f>
        <v>2967616.98988041</v>
      </c>
      <c r="F326" s="21">
        <f>D326-C326</f>
        <v>0</v>
      </c>
      <c r="G326" s="22">
        <f>D326/C326-1</f>
        <v>0</v>
      </c>
      <c r="H326" s="13"/>
      <c r="I326" s="13"/>
      <c r="J326" s="16">
        <f>E326-D326</f>
        <v>0</v>
      </c>
      <c r="K326" s="17">
        <f>E326/D326-1</f>
        <v>0</v>
      </c>
      <c r="L326" s="29">
        <f>HYPERLINK("[P Only Old retention.xlsx]'Coastal N Reductions'!D61", 13.3848896684966)</f>
        <v>13.3848896684966</v>
      </c>
      <c r="M326" s="29">
        <f>HYPERLINK("[P Only New retention.xlsx]'Coastal N Reductions'!D61", 7.18132012474616)</f>
        <v>7.1813201247461604</v>
      </c>
      <c r="N326" s="29">
        <f>HYPERLINK("[P Only with New retention and Differentiation.xlsx]'Coastal N Reductions'!D61", 7.35736929709361)</f>
        <v>7.3573692970936104</v>
      </c>
    </row>
    <row r="327" spans="1:14" x14ac:dyDescent="0.55000000000000004">
      <c r="A327" s="30">
        <v>217</v>
      </c>
      <c r="B327" s="6" t="s">
        <v>249</v>
      </c>
      <c r="C327" s="26">
        <f>HYPERLINK("[P Only Old retention.xlsx]'Coastal N Reductions'!C62", 749763.862985628)</f>
        <v>749763.86298562796</v>
      </c>
      <c r="D327" s="26">
        <f>HYPERLINK("[P Only New retention.xlsx]'Coastal N Reductions'!C62", 716270.597132401)</f>
        <v>716270.59713240096</v>
      </c>
      <c r="E327" s="26">
        <f>HYPERLINK("[P Only with New retention and Differentiation.xlsx]'Coastal N Reductions'!C62", 723251.113999669)</f>
        <v>723251.11399966897</v>
      </c>
      <c r="F327" s="21">
        <f>D327-C327</f>
        <v>-33493.265853227</v>
      </c>
      <c r="G327" s="22">
        <f>D327/C327-1</f>
        <v>-4.4671752676707754E-2</v>
      </c>
      <c r="H327" s="21">
        <f>E327-C327</f>
        <v>-26512.748985958984</v>
      </c>
      <c r="I327" s="22">
        <f>E327/C327-1</f>
        <v>-3.5361465515799662E-2</v>
      </c>
      <c r="J327" s="16">
        <f>E327-D327</f>
        <v>6980.5168672680156</v>
      </c>
      <c r="K327" s="17">
        <f>E327/D327-1</f>
        <v>9.7456420732815463E-3</v>
      </c>
      <c r="L327" s="27">
        <f>HYPERLINK("[P Only Old retention.xlsx]'Coastal N Reductions'!D62", 3.10969024513406)</f>
        <v>3.1096902451340598</v>
      </c>
      <c r="M327" s="27">
        <f>HYPERLINK("[P Only New retention.xlsx]'Coastal N Reductions'!D62", 2.76120397573585)</f>
        <v>2.76120397573585</v>
      </c>
      <c r="N327" s="27">
        <f>HYPERLINK("[P Only with New retention and Differentiation.xlsx]'Coastal N Reductions'!D62", 3.03125916227231)</f>
        <v>3.0312591622723102</v>
      </c>
    </row>
    <row r="328" spans="1:14" x14ac:dyDescent="0.55000000000000004">
      <c r="A328" s="31">
        <v>219</v>
      </c>
      <c r="B328" s="5" t="s">
        <v>250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1:14" x14ac:dyDescent="0.55000000000000004">
      <c r="A329" s="30">
        <v>221</v>
      </c>
      <c r="B329" s="6" t="s">
        <v>251</v>
      </c>
      <c r="C329" s="18"/>
      <c r="D329" s="18"/>
      <c r="E329" s="18"/>
      <c r="F329" s="13"/>
      <c r="G329" s="18"/>
      <c r="H329" s="13"/>
      <c r="I329" s="18"/>
      <c r="J329" s="13"/>
      <c r="K329" s="18"/>
      <c r="L329" s="18"/>
      <c r="M329" s="18"/>
      <c r="N329" s="18"/>
    </row>
    <row r="330" spans="1:14" x14ac:dyDescent="0.55000000000000004">
      <c r="A330" s="31">
        <v>222</v>
      </c>
      <c r="B330" s="5" t="s">
        <v>252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1:14" x14ac:dyDescent="0.55000000000000004">
      <c r="A331" s="30">
        <v>224</v>
      </c>
      <c r="B331" s="6" t="s">
        <v>253</v>
      </c>
      <c r="C331" s="18"/>
      <c r="D331" s="18"/>
      <c r="E331" s="18"/>
      <c r="F331" s="13"/>
      <c r="G331" s="18"/>
      <c r="H331" s="13"/>
      <c r="I331" s="18"/>
      <c r="J331" s="13"/>
      <c r="K331" s="18"/>
      <c r="L331" s="18"/>
      <c r="M331" s="18"/>
      <c r="N331" s="18"/>
    </row>
    <row r="332" spans="1:14" x14ac:dyDescent="0.55000000000000004">
      <c r="A332" s="31">
        <v>225</v>
      </c>
      <c r="B332" s="5" t="s">
        <v>254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1:14" x14ac:dyDescent="0.55000000000000004">
      <c r="A333" s="30">
        <v>231</v>
      </c>
      <c r="B333" s="6" t="s">
        <v>255</v>
      </c>
      <c r="C333" s="18"/>
      <c r="D333" s="18"/>
      <c r="E333" s="18"/>
      <c r="F333" s="13"/>
      <c r="G333" s="18"/>
      <c r="H333" s="13"/>
      <c r="I333" s="18"/>
      <c r="J333" s="13"/>
      <c r="K333" s="18"/>
      <c r="L333" s="18"/>
      <c r="M333" s="18"/>
      <c r="N333" s="18"/>
    </row>
    <row r="334" spans="1:14" x14ac:dyDescent="0.55000000000000004">
      <c r="A334" s="31">
        <v>232</v>
      </c>
      <c r="B334" s="5" t="s">
        <v>256</v>
      </c>
      <c r="C334" s="28">
        <f>HYPERLINK("[P Only Old retention.xlsx]'Coastal N Reductions'!C69", 41064262.6546168)</f>
        <v>41064262.654616803</v>
      </c>
      <c r="D334" s="28">
        <f>HYPERLINK("[P Only New retention.xlsx]'Coastal N Reductions'!C69", 41064262.6546168)</f>
        <v>41064262.654616803</v>
      </c>
      <c r="E334" s="28">
        <f>HYPERLINK("[P Only with New retention and Differentiation.xlsx]'Coastal N Reductions'!C69", 41064262.6546168)</f>
        <v>41064262.654616803</v>
      </c>
      <c r="F334" s="13"/>
      <c r="G334" s="13"/>
      <c r="H334" s="13"/>
      <c r="I334" s="13"/>
      <c r="J334" s="13"/>
      <c r="K334" s="13"/>
      <c r="L334" s="29">
        <f>HYPERLINK("[P Only Old retention.xlsx]'Coastal N Reductions'!D69", 270.405300033655)</f>
        <v>270.40530003365501</v>
      </c>
      <c r="M334" s="29">
        <f>HYPERLINK("[P Only New retention.xlsx]'Coastal N Reductions'!D69", 284.414821319246)</f>
        <v>284.41482131924602</v>
      </c>
      <c r="N334" s="29">
        <f>HYPERLINK("[P Only with New retention and Differentiation.xlsx]'Coastal N Reductions'!D69", 283.187991045236)</f>
        <v>283.187991045236</v>
      </c>
    </row>
    <row r="335" spans="1:14" x14ac:dyDescent="0.55000000000000004">
      <c r="A335" s="30">
        <v>233</v>
      </c>
      <c r="B335" s="6" t="s">
        <v>257</v>
      </c>
      <c r="C335" s="26">
        <f>HYPERLINK("[P Only Old retention.xlsx]'Coastal N Reductions'!C70", 13644899.3271584)</f>
        <v>13644899.327158401</v>
      </c>
      <c r="D335" s="26">
        <f>HYPERLINK("[P Only New retention.xlsx]'Coastal N Reductions'!C70", 13647371.6382484)</f>
        <v>13647371.638248401</v>
      </c>
      <c r="E335" s="26">
        <f>HYPERLINK("[P Only with New retention and Differentiation.xlsx]'Coastal N Reductions'!C70", 13647856.3446464)</f>
        <v>13647856.3446464</v>
      </c>
      <c r="F335" s="16">
        <f>D335-C335</f>
        <v>2472.3110899999738</v>
      </c>
      <c r="G335" s="17">
        <f>D335/C335-1</f>
        <v>1.8118939764399933E-4</v>
      </c>
      <c r="H335" s="16">
        <f>E335-C335</f>
        <v>2957.0174879990518</v>
      </c>
      <c r="I335" s="17">
        <f>E335/C335-1</f>
        <v>2.1671229791442315E-4</v>
      </c>
      <c r="J335" s="16">
        <f>E335-D335</f>
        <v>484.70639799907804</v>
      </c>
      <c r="K335" s="17">
        <f>E335/D335-1</f>
        <v>3.5516465063611946E-5</v>
      </c>
      <c r="L335" s="27">
        <f>HYPERLINK("[P Only Old retention.xlsx]'Coastal N Reductions'!D70", 103.40204137396)</f>
        <v>103.40204137396</v>
      </c>
      <c r="M335" s="27">
        <f>HYPERLINK("[P Only New retention.xlsx]'Coastal N Reductions'!D70", 76.582963078602)</f>
        <v>76.582963078602006</v>
      </c>
      <c r="N335" s="27">
        <f>HYPERLINK("[P Only with New retention and Differentiation.xlsx]'Coastal N Reductions'!D70", 76.2958686676258)</f>
        <v>76.295868667625797</v>
      </c>
    </row>
    <row r="336" spans="1:14" x14ac:dyDescent="0.55000000000000004">
      <c r="A336" s="31">
        <v>234</v>
      </c>
      <c r="B336" s="5" t="s">
        <v>258</v>
      </c>
      <c r="C336" s="28">
        <f>HYPERLINK("[P Only Old retention.xlsx]'Coastal N Reductions'!C71", 150062.142021071)</f>
        <v>150062.14202107099</v>
      </c>
      <c r="D336" s="28">
        <f>HYPERLINK("[P Only New retention.xlsx]'Coastal N Reductions'!C71", 150166.605476368)</f>
        <v>150166.60547636799</v>
      </c>
      <c r="E336" s="28">
        <f>HYPERLINK("[P Only with New retention and Differentiation.xlsx]'Coastal N Reductions'!C71", 150363.532798993)</f>
        <v>150363.53279899299</v>
      </c>
      <c r="F336" s="16">
        <f>D336-C336</f>
        <v>104.46345529699465</v>
      </c>
      <c r="G336" s="17">
        <f>D336/C336-1</f>
        <v>6.9613464055651164E-4</v>
      </c>
      <c r="H336" s="16">
        <f>E336-C336</f>
        <v>301.3907779220026</v>
      </c>
      <c r="I336" s="17">
        <f>E336/C336-1</f>
        <v>2.0084397960924427E-3</v>
      </c>
      <c r="J336" s="16">
        <f>E336-D336</f>
        <v>196.92732262500795</v>
      </c>
      <c r="K336" s="17">
        <f>E336/D336-1</f>
        <v>1.3113922499632391E-3</v>
      </c>
      <c r="L336" s="13"/>
      <c r="M336" s="13"/>
      <c r="N336" s="13"/>
    </row>
    <row r="337" spans="1:14" x14ac:dyDescent="0.55000000000000004">
      <c r="A337" s="30">
        <v>235</v>
      </c>
      <c r="B337" s="6" t="s">
        <v>259</v>
      </c>
      <c r="C337" s="26">
        <f>HYPERLINK("[P Only Old retention.xlsx]'Coastal N Reductions'!C72", 353932.786610678)</f>
        <v>353932.78661067801</v>
      </c>
      <c r="D337" s="26">
        <f>HYPERLINK("[P Only New retention.xlsx]'Coastal N Reductions'!C72", 353932.786610678)</f>
        <v>353932.78661067801</v>
      </c>
      <c r="E337" s="26">
        <f>HYPERLINK("[P Only with New retention and Differentiation.xlsx]'Coastal N Reductions'!C72", 353932.786610678)</f>
        <v>353932.78661067801</v>
      </c>
      <c r="F337" s="13"/>
      <c r="G337" s="18"/>
      <c r="H337" s="13"/>
      <c r="I337" s="18"/>
      <c r="J337" s="13"/>
      <c r="K337" s="18"/>
      <c r="L337" s="27">
        <f>HYPERLINK("[P Only Old retention.xlsx]'Coastal N Reductions'!D72", 1.5202010509)</f>
        <v>1.5202010508999999</v>
      </c>
      <c r="M337" s="27">
        <f>HYPERLINK("[P Only New retention.xlsx]'Coastal N Reductions'!D72", 2.55865023619129)</f>
        <v>2.5586502361912902</v>
      </c>
      <c r="N337" s="27">
        <f>HYPERLINK("[P Only with New retention and Differentiation.xlsx]'Coastal N Reductions'!D72", 2.56202785335264)</f>
        <v>2.5620278533526402</v>
      </c>
    </row>
    <row r="338" spans="1:14" x14ac:dyDescent="0.55000000000000004">
      <c r="A338" s="31">
        <v>236</v>
      </c>
      <c r="B338" s="5" t="s">
        <v>260</v>
      </c>
      <c r="C338" s="28">
        <f>HYPERLINK("[P Only Old retention.xlsx]'Coastal N Reductions'!C73", 2477311.49143292)</f>
        <v>2477311.4914329201</v>
      </c>
      <c r="D338" s="28">
        <f>HYPERLINK("[P Only New retention.xlsx]'Coastal N Reductions'!C73", 2451760.6210562)</f>
        <v>2451760.6210562</v>
      </c>
      <c r="E338" s="28">
        <f>HYPERLINK("[P Only with New retention and Differentiation.xlsx]'Coastal N Reductions'!C73", 2464684.47742577)</f>
        <v>2464684.4774257699</v>
      </c>
      <c r="F338" s="21">
        <f>D338-C338</f>
        <v>-25550.870376720093</v>
      </c>
      <c r="G338" s="22">
        <f>D338/C338-1</f>
        <v>-1.0313951420756196E-2</v>
      </c>
      <c r="H338" s="21">
        <f>E338-C338</f>
        <v>-12627.014007150196</v>
      </c>
      <c r="I338" s="22">
        <f>E338/C338-1</f>
        <v>-5.0970635105100914E-3</v>
      </c>
      <c r="J338" s="16">
        <f>E338-D338</f>
        <v>12923.856369569898</v>
      </c>
      <c r="K338" s="17">
        <f>E338/D338-1</f>
        <v>5.2712553821843144E-3</v>
      </c>
      <c r="L338" s="29">
        <f>HYPERLINK("[P Only Old retention.xlsx]'Coastal N Reductions'!D73", 0.44084533622)</f>
        <v>0.44084533621999999</v>
      </c>
      <c r="M338" s="29">
        <f>HYPERLINK("[P Only New retention.xlsx]'Coastal N Reductions'!D73", 0.752881074742759)</f>
        <v>0.752881074742759</v>
      </c>
      <c r="N338" s="29">
        <f>HYPERLINK("[P Only with New retention and Differentiation.xlsx]'Coastal N Reductions'!D73", 0.799494600988627)</f>
        <v>0.79949460098862701</v>
      </c>
    </row>
    <row r="339" spans="1:14" x14ac:dyDescent="0.55000000000000004">
      <c r="A339" s="30">
        <v>238</v>
      </c>
      <c r="B339" s="6" t="s">
        <v>261</v>
      </c>
      <c r="C339" s="18"/>
      <c r="D339" s="18"/>
      <c r="E339" s="18"/>
      <c r="F339" s="13"/>
      <c r="G339" s="18"/>
      <c r="H339" s="13"/>
      <c r="I339" s="18"/>
      <c r="J339" s="13"/>
      <c r="K339" s="18"/>
      <c r="L339" s="18"/>
      <c r="M339" s="18"/>
      <c r="N339" s="18"/>
    </row>
    <row r="340" spans="1:14" x14ac:dyDescent="0.55000000000000004">
      <c r="A340" s="23"/>
      <c r="B340" s="24" t="s">
        <v>266</v>
      </c>
      <c r="C340" s="25">
        <v>299504462.88746202</v>
      </c>
      <c r="D340" s="25">
        <v>299355165.920102</v>
      </c>
      <c r="E340" s="25">
        <v>299237232.94831097</v>
      </c>
      <c r="F340" s="32">
        <f>D340-C340</f>
        <v>-149296.96736001968</v>
      </c>
      <c r="G340" s="33">
        <f>D340/C340-1</f>
        <v>-4.9847994223750636E-4</v>
      </c>
      <c r="H340" s="32">
        <f>E340-C340</f>
        <v>-267229.93915104866</v>
      </c>
      <c r="I340" s="33">
        <f>E340/C340-1</f>
        <v>-8.9224025770684445E-4</v>
      </c>
      <c r="J340" s="32">
        <f>E340-D340</f>
        <v>-117932.97179102898</v>
      </c>
      <c r="K340" s="33">
        <f>E340/D340-1</f>
        <v>-3.9395669497988006E-4</v>
      </c>
      <c r="L340" s="34">
        <v>1324.91184106489</v>
      </c>
      <c r="M340" s="34">
        <v>1428.0043388496799</v>
      </c>
      <c r="N340" s="34">
        <v>1431.1419084245799</v>
      </c>
    </row>
  </sheetData>
  <mergeCells count="3">
    <mergeCell ref="A1:N1"/>
    <mergeCell ref="A115:N115"/>
    <mergeCell ref="A229:N22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339"/>
  <sheetViews>
    <sheetView zoomScaleNormal="100" workbookViewId="0">
      <pane xSplit="2" ySplit="4" topLeftCell="C91" activePane="bottomRight" state="frozen"/>
      <selection pane="topRight" activeCell="C1" sqref="C1"/>
      <selection pane="bottomLeft" activeCell="A5" sqref="A5"/>
      <selection pane="bottomRight" activeCell="M131" sqref="M131"/>
    </sheetView>
  </sheetViews>
  <sheetFormatPr defaultColWidth="8.68359375" defaultRowHeight="14.4" x14ac:dyDescent="0.55000000000000004"/>
  <cols>
    <col min="1" max="1" width="7" customWidth="1"/>
    <col min="2" max="2" width="28" customWidth="1"/>
    <col min="3" max="5" width="10" customWidth="1"/>
    <col min="6" max="7" width="9" customWidth="1"/>
    <col min="8" max="10" width="10" customWidth="1"/>
    <col min="11" max="12" width="9" customWidth="1"/>
    <col min="13" max="15" width="10" customWidth="1"/>
    <col min="16" max="17" width="9" customWidth="1"/>
    <col min="18" max="20" width="10" customWidth="1"/>
    <col min="21" max="22" width="9" customWidth="1"/>
    <col min="23" max="25" width="10" customWidth="1"/>
    <col min="26" max="27" width="9" customWidth="1"/>
    <col min="28" max="30" width="10" customWidth="1"/>
    <col min="31" max="32" width="9" customWidth="1"/>
    <col min="33" max="35" width="10" customWidth="1"/>
    <col min="36" max="37" width="9" customWidth="1"/>
    <col min="38" max="40" width="10" customWidth="1"/>
    <col min="41" max="42" width="9" customWidth="1"/>
    <col min="43" max="45" width="10" customWidth="1"/>
    <col min="46" max="47" width="9" customWidth="1"/>
    <col min="48" max="50" width="10" customWidth="1"/>
    <col min="51" max="52" width="9" customWidth="1"/>
    <col min="53" max="55" width="10" customWidth="1"/>
    <col min="56" max="57" width="9" customWidth="1"/>
    <col min="58" max="60" width="10" customWidth="1"/>
    <col min="61" max="62" width="9" customWidth="1"/>
  </cols>
  <sheetData>
    <row r="1" spans="1:62" ht="18" customHeight="1" x14ac:dyDescent="0.55000000000000004">
      <c r="A1" s="49" t="s">
        <v>267</v>
      </c>
      <c r="B1" s="49"/>
      <c r="C1" s="50" t="s">
        <v>268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ht="18" customHeight="1" x14ac:dyDescent="0.55000000000000004">
      <c r="A2" s="35"/>
      <c r="B2" s="36"/>
      <c r="C2" s="67" t="s">
        <v>269</v>
      </c>
      <c r="D2" s="67"/>
      <c r="E2" s="67"/>
      <c r="F2" s="67"/>
      <c r="G2" s="67"/>
      <c r="H2" s="68" t="s">
        <v>270</v>
      </c>
      <c r="I2" s="68"/>
      <c r="J2" s="68"/>
      <c r="K2" s="68"/>
      <c r="L2" s="68"/>
      <c r="M2" s="68" t="s">
        <v>271</v>
      </c>
      <c r="N2" s="68"/>
      <c r="O2" s="68"/>
      <c r="P2" s="68"/>
      <c r="Q2" s="68"/>
      <c r="R2" s="67" t="s">
        <v>272</v>
      </c>
      <c r="S2" s="67"/>
      <c r="T2" s="67"/>
      <c r="U2" s="67"/>
      <c r="V2" s="67"/>
      <c r="W2" s="67" t="s">
        <v>273</v>
      </c>
      <c r="X2" s="67"/>
      <c r="Y2" s="67"/>
      <c r="Z2" s="67"/>
      <c r="AA2" s="67"/>
      <c r="AB2" s="69" t="s">
        <v>274</v>
      </c>
      <c r="AC2" s="69"/>
      <c r="AD2" s="69"/>
      <c r="AE2" s="69"/>
      <c r="AF2" s="69"/>
      <c r="AG2" s="67" t="s">
        <v>275</v>
      </c>
      <c r="AH2" s="67"/>
      <c r="AI2" s="67"/>
      <c r="AJ2" s="67"/>
      <c r="AK2" s="67"/>
      <c r="AL2" s="68" t="s">
        <v>276</v>
      </c>
      <c r="AM2" s="68"/>
      <c r="AN2" s="68"/>
      <c r="AO2" s="68"/>
      <c r="AP2" s="68"/>
      <c r="AQ2" s="67" t="s">
        <v>277</v>
      </c>
      <c r="AR2" s="67"/>
      <c r="AS2" s="67"/>
      <c r="AT2" s="67"/>
      <c r="AU2" s="67"/>
      <c r="AV2" s="68" t="s">
        <v>278</v>
      </c>
      <c r="AW2" s="68"/>
      <c r="AX2" s="68"/>
      <c r="AY2" s="68"/>
      <c r="AZ2" s="68"/>
      <c r="BA2" s="70" t="s">
        <v>279</v>
      </c>
      <c r="BB2" s="70"/>
      <c r="BC2" s="70"/>
      <c r="BD2" s="70"/>
      <c r="BE2" s="70"/>
      <c r="BF2" s="69" t="s">
        <v>280</v>
      </c>
      <c r="BG2" s="69"/>
      <c r="BH2" s="69"/>
      <c r="BI2" s="69"/>
      <c r="BJ2" s="69"/>
    </row>
    <row r="3" spans="1:62" ht="19.5" customHeight="1" x14ac:dyDescent="0.55000000000000004">
      <c r="A3" s="35"/>
      <c r="B3" s="36"/>
      <c r="C3" s="65" t="s">
        <v>281</v>
      </c>
      <c r="D3" s="65"/>
      <c r="E3" s="65"/>
      <c r="F3" s="65"/>
      <c r="G3" s="65"/>
      <c r="H3" s="66" t="s">
        <v>282</v>
      </c>
      <c r="I3" s="66"/>
      <c r="J3" s="66"/>
      <c r="K3" s="66"/>
      <c r="L3" s="66"/>
      <c r="M3" s="66" t="s">
        <v>283</v>
      </c>
      <c r="N3" s="66"/>
      <c r="O3" s="66"/>
      <c r="P3" s="66"/>
      <c r="Q3" s="66"/>
      <c r="R3" s="65" t="s">
        <v>284</v>
      </c>
      <c r="S3" s="65"/>
      <c r="T3" s="65"/>
      <c r="U3" s="65"/>
      <c r="V3" s="65"/>
      <c r="W3" s="65" t="s">
        <v>285</v>
      </c>
      <c r="X3" s="65"/>
      <c r="Y3" s="65"/>
      <c r="Z3" s="65"/>
      <c r="AA3" s="65"/>
      <c r="AB3" s="64" t="s">
        <v>286</v>
      </c>
      <c r="AC3" s="64"/>
      <c r="AD3" s="64"/>
      <c r="AE3" s="64"/>
      <c r="AF3" s="64"/>
      <c r="AG3" s="65" t="s">
        <v>287</v>
      </c>
      <c r="AH3" s="65"/>
      <c r="AI3" s="65"/>
      <c r="AJ3" s="65"/>
      <c r="AK3" s="65"/>
      <c r="AL3" s="66" t="s">
        <v>288</v>
      </c>
      <c r="AM3" s="66"/>
      <c r="AN3" s="66"/>
      <c r="AO3" s="66"/>
      <c r="AP3" s="66"/>
      <c r="AQ3" s="65" t="s">
        <v>289</v>
      </c>
      <c r="AR3" s="65"/>
      <c r="AS3" s="65"/>
      <c r="AT3" s="65"/>
      <c r="AU3" s="65"/>
      <c r="AV3" s="66" t="s">
        <v>290</v>
      </c>
      <c r="AW3" s="66"/>
      <c r="AX3" s="66"/>
      <c r="AY3" s="66"/>
      <c r="AZ3" s="66"/>
      <c r="BA3" s="63" t="s">
        <v>291</v>
      </c>
      <c r="BB3" s="63"/>
      <c r="BC3" s="63"/>
      <c r="BD3" s="63"/>
      <c r="BE3" s="63"/>
      <c r="BF3" s="64" t="s">
        <v>292</v>
      </c>
      <c r="BG3" s="64"/>
      <c r="BH3" s="64"/>
      <c r="BI3" s="64"/>
      <c r="BJ3" s="64"/>
    </row>
    <row r="4" spans="1:62" ht="18" customHeight="1" x14ac:dyDescent="0.55000000000000004">
      <c r="A4" s="37" t="s">
        <v>140</v>
      </c>
      <c r="B4" s="38" t="s">
        <v>141</v>
      </c>
      <c r="C4" s="1" t="s">
        <v>293</v>
      </c>
      <c r="D4" s="1" t="s">
        <v>294</v>
      </c>
      <c r="E4" s="1" t="s">
        <v>295</v>
      </c>
      <c r="F4" s="39" t="s">
        <v>296</v>
      </c>
      <c r="G4" s="39" t="s">
        <v>297</v>
      </c>
      <c r="H4" s="1" t="s">
        <v>293</v>
      </c>
      <c r="I4" s="1" t="s">
        <v>294</v>
      </c>
      <c r="J4" s="1" t="s">
        <v>295</v>
      </c>
      <c r="K4" s="39" t="s">
        <v>296</v>
      </c>
      <c r="L4" s="39" t="s">
        <v>297</v>
      </c>
      <c r="M4" s="1" t="s">
        <v>293</v>
      </c>
      <c r="N4" s="1" t="s">
        <v>294</v>
      </c>
      <c r="O4" s="1" t="s">
        <v>295</v>
      </c>
      <c r="P4" s="39" t="s">
        <v>296</v>
      </c>
      <c r="Q4" s="39" t="s">
        <v>297</v>
      </c>
      <c r="R4" s="1" t="s">
        <v>293</v>
      </c>
      <c r="S4" s="1" t="s">
        <v>294</v>
      </c>
      <c r="T4" s="1" t="s">
        <v>295</v>
      </c>
      <c r="U4" s="39" t="s">
        <v>296</v>
      </c>
      <c r="V4" s="39" t="s">
        <v>297</v>
      </c>
      <c r="W4" s="1" t="s">
        <v>293</v>
      </c>
      <c r="X4" s="1" t="s">
        <v>294</v>
      </c>
      <c r="Y4" s="1" t="s">
        <v>295</v>
      </c>
      <c r="Z4" s="39" t="s">
        <v>296</v>
      </c>
      <c r="AA4" s="39" t="s">
        <v>297</v>
      </c>
      <c r="AB4" s="1" t="s">
        <v>293</v>
      </c>
      <c r="AC4" s="1" t="s">
        <v>294</v>
      </c>
      <c r="AD4" s="1" t="s">
        <v>295</v>
      </c>
      <c r="AE4" s="39" t="s">
        <v>296</v>
      </c>
      <c r="AF4" s="39" t="s">
        <v>297</v>
      </c>
      <c r="AG4" s="1" t="s">
        <v>293</v>
      </c>
      <c r="AH4" s="1" t="s">
        <v>294</v>
      </c>
      <c r="AI4" s="1" t="s">
        <v>295</v>
      </c>
      <c r="AJ4" s="39" t="s">
        <v>296</v>
      </c>
      <c r="AK4" s="39" t="s">
        <v>297</v>
      </c>
      <c r="AL4" s="1" t="s">
        <v>293</v>
      </c>
      <c r="AM4" s="1" t="s">
        <v>294</v>
      </c>
      <c r="AN4" s="1" t="s">
        <v>295</v>
      </c>
      <c r="AO4" s="39" t="s">
        <v>296</v>
      </c>
      <c r="AP4" s="39" t="s">
        <v>297</v>
      </c>
      <c r="AQ4" s="1" t="s">
        <v>293</v>
      </c>
      <c r="AR4" s="1" t="s">
        <v>294</v>
      </c>
      <c r="AS4" s="1" t="s">
        <v>295</v>
      </c>
      <c r="AT4" s="39" t="s">
        <v>296</v>
      </c>
      <c r="AU4" s="39" t="s">
        <v>297</v>
      </c>
      <c r="AV4" s="1" t="s">
        <v>293</v>
      </c>
      <c r="AW4" s="1" t="s">
        <v>294</v>
      </c>
      <c r="AX4" s="1" t="s">
        <v>295</v>
      </c>
      <c r="AY4" s="39" t="s">
        <v>296</v>
      </c>
      <c r="AZ4" s="39" t="s">
        <v>297</v>
      </c>
      <c r="BA4" s="1" t="s">
        <v>293</v>
      </c>
      <c r="BB4" s="1" t="s">
        <v>294</v>
      </c>
      <c r="BC4" s="1" t="s">
        <v>295</v>
      </c>
      <c r="BD4" s="39" t="s">
        <v>296</v>
      </c>
      <c r="BE4" s="39" t="s">
        <v>297</v>
      </c>
      <c r="BF4" s="1" t="s">
        <v>293</v>
      </c>
      <c r="BG4" s="1" t="s">
        <v>294</v>
      </c>
      <c r="BH4" s="1" t="s">
        <v>295</v>
      </c>
      <c r="BI4" s="39" t="s">
        <v>296</v>
      </c>
      <c r="BJ4" s="39" t="s">
        <v>297</v>
      </c>
    </row>
    <row r="5" spans="1:62" ht="18" customHeight="1" x14ac:dyDescent="0.55000000000000004">
      <c r="A5" s="62" t="s">
        <v>298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</row>
    <row r="6" spans="1:62" x14ac:dyDescent="0.55000000000000004">
      <c r="A6" s="30">
        <v>1</v>
      </c>
      <c r="B6" s="6" t="s">
        <v>154</v>
      </c>
      <c r="C6" s="40">
        <f>HYPERLINK("[N Only Old retention.xlsx]'Coastal N Reductions'!BD2", 2920.568)</f>
        <v>2920.5680000000002</v>
      </c>
      <c r="D6" s="40">
        <f>HYPERLINK("[N Only New retention.xlsx]'Coastal N Reductions'!BD2", 3341.68199999909)</f>
        <v>3341.6819999990898</v>
      </c>
      <c r="E6" s="18"/>
      <c r="F6" s="41">
        <f>D6-C6</f>
        <v>421.11399999908963</v>
      </c>
      <c r="G6" s="42">
        <f>E6-C6</f>
        <v>-2920.5680000000002</v>
      </c>
      <c r="H6" s="40">
        <f>HYPERLINK("[N Only Old retention.xlsx]'Coastal N Reductions'!AV2", 892.878)</f>
        <v>892.87800000000004</v>
      </c>
      <c r="I6" s="40">
        <f>HYPERLINK("[N Only New retention.xlsx]'Coastal N Reductions'!AV2", 1008.34799999962)</f>
        <v>1008.34799999962</v>
      </c>
      <c r="J6" s="40">
        <f>HYPERLINK("[N Only with New retention and Differentiation.xlsx]'Coastal N Reductions'!AV2", 809.21)</f>
        <v>809.21</v>
      </c>
      <c r="K6" s="41">
        <f>I6-H6</f>
        <v>115.46999999961997</v>
      </c>
      <c r="L6" s="42">
        <f>J6-H6</f>
        <v>-83.668000000000006</v>
      </c>
      <c r="M6" s="40">
        <f>HYPERLINK("[N Only Old retention.xlsx]'Coastal N Reductions'!AX2", 644.724)</f>
        <v>644.72400000000005</v>
      </c>
      <c r="N6" s="40">
        <f>HYPERLINK("[N Only New retention.xlsx]'Coastal N Reductions'!AX2", 701.341999999843)</f>
        <v>701.34199999984298</v>
      </c>
      <c r="O6" s="40">
        <f>HYPERLINK("[N Only with New retention and Differentiation.xlsx]'Coastal N Reductions'!AX2", 678.272)</f>
        <v>678.27200000000005</v>
      </c>
      <c r="P6" s="41">
        <f>N6-M6</f>
        <v>56.617999999842937</v>
      </c>
      <c r="Q6" s="41">
        <f>O6-M6</f>
        <v>33.548000000000002</v>
      </c>
      <c r="R6" s="40">
        <f>HYPERLINK("[N Only Old retention.xlsx]'Coastal N Reductions'!BF2", 501.544)</f>
        <v>501.54399999999998</v>
      </c>
      <c r="S6" s="40">
        <f>HYPERLINK("[N Only New retention.xlsx]'Coastal N Reductions'!BF2", 479.861999999066)</f>
        <v>479.86199999906597</v>
      </c>
      <c r="T6" s="40">
        <f>HYPERLINK("[N Only with New retention and Differentiation.xlsx]'Coastal N Reductions'!BF2", 4011.058)</f>
        <v>4011.058</v>
      </c>
      <c r="U6" s="42">
        <f>S6-R6</f>
        <v>-21.682000000934011</v>
      </c>
      <c r="V6" s="41">
        <f>T6-R6</f>
        <v>3509.5140000000001</v>
      </c>
      <c r="W6" s="40">
        <f>HYPERLINK("[N Only Old retention.xlsx]'Coastal N Reductions'!BI2", 798.042)</f>
        <v>798.04200000000003</v>
      </c>
      <c r="X6" s="40">
        <f>HYPERLINK("[N Only New retention.xlsx]'Coastal N Reductions'!BI2", 810.599997668677)</f>
        <v>810.59999766867702</v>
      </c>
      <c r="Y6" s="40">
        <f>HYPERLINK("[N Only with New retention and Differentiation.xlsx]'Coastal N Reductions'!BI2", 810.664)</f>
        <v>810.66399999999999</v>
      </c>
      <c r="Z6" s="41">
        <f>X6-W6</f>
        <v>12.55799766867699</v>
      </c>
      <c r="AA6" s="41">
        <f>Y6-W6</f>
        <v>12.621999999999957</v>
      </c>
      <c r="AB6" s="18"/>
      <c r="AC6" s="18"/>
      <c r="AD6" s="18"/>
      <c r="AE6" s="18"/>
      <c r="AF6" s="18"/>
      <c r="AG6" s="40">
        <f>HYPERLINK("[N Only Old retention.xlsx]'Coastal N Reductions'!BH2", 94.158)</f>
        <v>94.158000000000001</v>
      </c>
      <c r="AH6" s="40">
        <f>HYPERLINK("[N Only New retention.xlsx]'Coastal N Reductions'!BH2", 146.385999999974)</f>
        <v>146.38599999997399</v>
      </c>
      <c r="AI6" s="40">
        <f>HYPERLINK("[N Only with New retention and Differentiation.xlsx]'Coastal N Reductions'!BH2", 136.916)</f>
        <v>136.916</v>
      </c>
      <c r="AJ6" s="41">
        <f>AH6-AG6</f>
        <v>52.227999999973989</v>
      </c>
      <c r="AK6" s="41">
        <f>AI6-AG6</f>
        <v>42.757999999999996</v>
      </c>
      <c r="AL6" s="40">
        <f>HYPERLINK("[N Only Old retention.xlsx]'Coastal N Reductions'!AZ2", 801.4776)</f>
        <v>801.47760000000005</v>
      </c>
      <c r="AM6" s="40">
        <f>HYPERLINK("[N Only New retention.xlsx]'Coastal N Reductions'!AZ2", 745.9662)</f>
        <v>745.96619999999996</v>
      </c>
      <c r="AN6" s="40">
        <f>HYPERLINK("[N Only with New retention and Differentiation.xlsx]'Coastal N Reductions'!AZ2", 743.1912)</f>
        <v>743.19119999999998</v>
      </c>
      <c r="AO6" s="42">
        <f>AM6-AL6</f>
        <v>-55.511400000000094</v>
      </c>
      <c r="AP6" s="42">
        <f>AN6-AL6</f>
        <v>-58.286400000000071</v>
      </c>
      <c r="AQ6" s="40">
        <f>HYPERLINK("[N Only Old retention.xlsx]'Coastal N Reductions'!BE2", 98.1739999999754)</f>
        <v>98.173999999975393</v>
      </c>
      <c r="AR6" s="40">
        <f>HYPERLINK("[N Only New retention.xlsx]'Coastal N Reductions'!BE2", 151.9419999999)</f>
        <v>151.94199999989999</v>
      </c>
      <c r="AS6" s="40">
        <f>HYPERLINK("[N Only with New retention and Differentiation.xlsx]'Coastal N Reductions'!BE2", 145.23)</f>
        <v>145.22999999999999</v>
      </c>
      <c r="AT6" s="41">
        <f>AR6-AQ6</f>
        <v>53.767999999924598</v>
      </c>
      <c r="AU6" s="41">
        <f>AS6-AQ6</f>
        <v>47.056000000024596</v>
      </c>
      <c r="AV6" s="18"/>
      <c r="AW6" s="18"/>
      <c r="AX6" s="18"/>
      <c r="AY6" s="18"/>
      <c r="AZ6" s="18"/>
      <c r="BA6" s="18"/>
      <c r="BB6" s="18"/>
      <c r="BC6" s="40">
        <f>HYPERLINK("[N Only with New retention and Differentiation.xlsx]'Coastal N Reductions'!BP2", 0.04)</f>
        <v>0.04</v>
      </c>
      <c r="BD6" s="18"/>
      <c r="BE6" s="41">
        <f>BC6-BA6</f>
        <v>0.04</v>
      </c>
      <c r="BF6" s="18"/>
      <c r="BG6" s="18"/>
      <c r="BH6" s="18"/>
      <c r="BI6" s="18"/>
      <c r="BJ6" s="18"/>
    </row>
    <row r="7" spans="1:62" x14ac:dyDescent="0.55000000000000004">
      <c r="A7" s="31">
        <v>2</v>
      </c>
      <c r="B7" s="5" t="s">
        <v>155</v>
      </c>
      <c r="C7" s="43">
        <f>HYPERLINK("[N Only Old retention.xlsx]'Coastal N Reductions'!BD50", 841.189999999937)</f>
        <v>841.18999999993696</v>
      </c>
      <c r="D7" s="43">
        <f>HYPERLINK("[N Only New retention.xlsx]'Coastal N Reductions'!BD50", 942.76)</f>
        <v>942.76</v>
      </c>
      <c r="E7" s="13"/>
      <c r="F7" s="41">
        <f>D7-C7</f>
        <v>101.57000000006303</v>
      </c>
      <c r="G7" s="42">
        <f>E7-C7</f>
        <v>-841.18999999993696</v>
      </c>
      <c r="H7" s="43">
        <f>HYPERLINK("[N Only Old retention.xlsx]'Coastal N Reductions'!AV50", 802.493999999727)</f>
        <v>802.49399999972695</v>
      </c>
      <c r="I7" s="43">
        <f>HYPERLINK("[N Only New retention.xlsx]'Coastal N Reductions'!AV50", 917.13)</f>
        <v>917.13</v>
      </c>
      <c r="J7" s="43">
        <f>HYPERLINK("[N Only with New retention and Differentiation.xlsx]'Coastal N Reductions'!AV50", 907.888)</f>
        <v>907.88800000000003</v>
      </c>
      <c r="K7" s="41">
        <f>I7-H7</f>
        <v>114.63600000027304</v>
      </c>
      <c r="L7" s="41">
        <f>J7-H7</f>
        <v>105.39400000027308</v>
      </c>
      <c r="M7" s="43">
        <f>HYPERLINK("[N Only Old retention.xlsx]'Coastal N Reductions'!AX50", 3469.14399999883)</f>
        <v>3469.1439999988302</v>
      </c>
      <c r="N7" s="43">
        <f>HYPERLINK("[N Only New retention.xlsx]'Coastal N Reductions'!AX50", 3459.83999999951)</f>
        <v>3459.8399999995099</v>
      </c>
      <c r="O7" s="43">
        <f>HYPERLINK("[N Only with New retention and Differentiation.xlsx]'Coastal N Reductions'!AX50", 3450.22)</f>
        <v>3450.22</v>
      </c>
      <c r="P7" s="42">
        <f>N7-M7</f>
        <v>-9.30399999932024</v>
      </c>
      <c r="Q7" s="42">
        <f>O7-M7</f>
        <v>-18.923999998830368</v>
      </c>
      <c r="R7" s="43">
        <f>HYPERLINK("[N Only Old retention.xlsx]'Coastal N Reductions'!BF50", 230.502)</f>
        <v>230.50200000000001</v>
      </c>
      <c r="S7" s="43">
        <f>HYPERLINK("[N Only New retention.xlsx]'Coastal N Reductions'!BF50", 208.722)</f>
        <v>208.72200000000001</v>
      </c>
      <c r="T7" s="43">
        <f>HYPERLINK("[N Only with New retention and Differentiation.xlsx]'Coastal N Reductions'!BF50", 1206.684)</f>
        <v>1206.684</v>
      </c>
      <c r="U7" s="42">
        <f>S7-R7</f>
        <v>-21.78</v>
      </c>
      <c r="V7" s="41">
        <f>T7-R7</f>
        <v>976.18200000000002</v>
      </c>
      <c r="W7" s="43">
        <f>HYPERLINK("[N Only Old retention.xlsx]'Coastal N Reductions'!BI50", 408.600034967218)</f>
        <v>408.60003496721799</v>
      </c>
      <c r="X7" s="43">
        <f>HYPERLINK("[N Only New retention.xlsx]'Coastal N Reductions'!BI50", 406.416034967218)</f>
        <v>406.41603496721802</v>
      </c>
      <c r="Y7" s="43">
        <f>HYPERLINK("[N Only with New retention and Differentiation.xlsx]'Coastal N Reductions'!BI50", 406.346034967218)</f>
        <v>406.34603496721797</v>
      </c>
      <c r="Z7" s="42">
        <f>X7-W7</f>
        <v>-2.1839999999999691</v>
      </c>
      <c r="AA7" s="42">
        <f>Y7-W7</f>
        <v>-2.2540000000000191</v>
      </c>
      <c r="AB7" s="28">
        <f>HYPERLINK("[N Only Old retention.xlsx]'Coastal N Reductions'!BS50", 2600)</f>
        <v>2600</v>
      </c>
      <c r="AC7" s="28">
        <f>HYPERLINK("[N Only New retention.xlsx]'Coastal N Reductions'!BS50", 1300)</f>
        <v>1300</v>
      </c>
      <c r="AD7" s="28">
        <f>HYPERLINK("[N Only with New retention and Differentiation.xlsx]'Coastal N Reductions'!BS50", 1200)</f>
        <v>1200</v>
      </c>
      <c r="AE7" s="21">
        <f>AC7-AB7</f>
        <v>-1300</v>
      </c>
      <c r="AF7" s="21">
        <f>AD7-AB7</f>
        <v>-1400</v>
      </c>
      <c r="AG7" s="43">
        <f>HYPERLINK("[N Only Old retention.xlsx]'Coastal N Reductions'!BH50", 20.1399999999207)</f>
        <v>20.1399999999207</v>
      </c>
      <c r="AH7" s="43">
        <f>HYPERLINK("[N Only New retention.xlsx]'Coastal N Reductions'!BH50", 40.84)</f>
        <v>40.840000000000003</v>
      </c>
      <c r="AI7" s="43">
        <f>HYPERLINK("[N Only with New retention and Differentiation.xlsx]'Coastal N Reductions'!BH50", 40.59)</f>
        <v>40.590000000000003</v>
      </c>
      <c r="AJ7" s="41">
        <f>AH7-AG7</f>
        <v>20.700000000079303</v>
      </c>
      <c r="AK7" s="41">
        <f>AI7-AG7</f>
        <v>20.450000000079303</v>
      </c>
      <c r="AL7" s="43">
        <f>HYPERLINK("[N Only Old retention.xlsx]'Coastal N Reductions'!AZ50", 1274.2758)</f>
        <v>1274.2757999999999</v>
      </c>
      <c r="AM7" s="43">
        <f>HYPERLINK("[N Only New retention.xlsx]'Coastal N Reductions'!AZ50", 1382.75939999945)</f>
        <v>1382.7593999994499</v>
      </c>
      <c r="AN7" s="43">
        <f>HYPERLINK("[N Only with New retention and Differentiation.xlsx]'Coastal N Reductions'!AZ50", 1381.10039999922)</f>
        <v>1381.1003999992199</v>
      </c>
      <c r="AO7" s="41">
        <f>AM7-AL7</f>
        <v>108.48359999945001</v>
      </c>
      <c r="AP7" s="41">
        <f>AN7-AL7</f>
        <v>106.82459999922003</v>
      </c>
      <c r="AQ7" s="43">
        <f>HYPERLINK("[N Only Old retention.xlsx]'Coastal N Reductions'!BE50", 145.15)</f>
        <v>145.15</v>
      </c>
      <c r="AR7" s="43">
        <f>HYPERLINK("[N Only New retention.xlsx]'Coastal N Reductions'!BE50", 117.696)</f>
        <v>117.696</v>
      </c>
      <c r="AS7" s="43">
        <f>HYPERLINK("[N Only with New retention and Differentiation.xlsx]'Coastal N Reductions'!BE50", 118.996)</f>
        <v>118.996</v>
      </c>
      <c r="AT7" s="42">
        <f>AR7-AQ7</f>
        <v>-27.454000000000008</v>
      </c>
      <c r="AU7" s="42">
        <f>AS7-AQ7</f>
        <v>-26.154000000000011</v>
      </c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28">
        <f>HYPERLINK("[N Only Old retention.xlsx]'Coastal N Reductions'!BT50", 1)</f>
        <v>1</v>
      </c>
      <c r="BG7" s="13"/>
      <c r="BH7" s="13"/>
      <c r="BI7" s="21">
        <f>BG7-BF7</f>
        <v>-1</v>
      </c>
      <c r="BJ7" s="21">
        <f>BH7-BF7</f>
        <v>-1</v>
      </c>
    </row>
    <row r="8" spans="1:62" x14ac:dyDescent="0.55000000000000004">
      <c r="A8" s="30">
        <v>6</v>
      </c>
      <c r="B8" s="6" t="s">
        <v>156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</row>
    <row r="9" spans="1:62" x14ac:dyDescent="0.55000000000000004">
      <c r="A9" s="31">
        <v>16</v>
      </c>
      <c r="B9" s="5" t="s">
        <v>157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43">
        <f>HYPERLINK("[N Only Old retention.xlsx]'Coastal N Reductions'!AX45", 3.72)</f>
        <v>3.72</v>
      </c>
      <c r="N9" s="43">
        <f>HYPERLINK("[N Only New retention.xlsx]'Coastal N Reductions'!AX45", 2.13)</f>
        <v>2.13</v>
      </c>
      <c r="O9" s="43">
        <f>HYPERLINK("[N Only with New retention and Differentiation.xlsx]'Coastal N Reductions'!AX45", 1.59)</f>
        <v>1.59</v>
      </c>
      <c r="P9" s="42">
        <f>N9-M9</f>
        <v>-1.5900000000000003</v>
      </c>
      <c r="Q9" s="42">
        <f>O9-M9</f>
        <v>-2.13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</row>
    <row r="10" spans="1:62" x14ac:dyDescent="0.55000000000000004">
      <c r="A10" s="30">
        <v>17</v>
      </c>
      <c r="B10" s="6" t="s">
        <v>158</v>
      </c>
      <c r="C10" s="18"/>
      <c r="D10" s="18"/>
      <c r="E10" s="18"/>
      <c r="F10" s="18"/>
      <c r="G10" s="18"/>
      <c r="H10" s="40">
        <f>HYPERLINK("[N Only Old retention.xlsx]'Coastal N Reductions'!AV48", 139.044)</f>
        <v>139.04400000000001</v>
      </c>
      <c r="I10" s="40">
        <f>HYPERLINK("[N Only New retention.xlsx]'Coastal N Reductions'!AV48", 139.043999999922)</f>
        <v>139.04399999992199</v>
      </c>
      <c r="J10" s="40">
        <f>HYPERLINK("[N Only with New retention and Differentiation.xlsx]'Coastal N Reductions'!AV48", 139.044)</f>
        <v>139.04400000000001</v>
      </c>
      <c r="K10" s="42">
        <f>I10-H10</f>
        <v>-7.8017592386459E-11</v>
      </c>
      <c r="L10" s="18"/>
      <c r="M10" s="40">
        <f>HYPERLINK("[N Only Old retention.xlsx]'Coastal N Reductions'!AX48", 476.836)</f>
        <v>476.83600000000001</v>
      </c>
      <c r="N10" s="40">
        <f>HYPERLINK("[N Only New retention.xlsx]'Coastal N Reductions'!AX48", 593.516)</f>
        <v>593.51599999999996</v>
      </c>
      <c r="O10" s="40">
        <f>HYPERLINK("[N Only with New retention and Differentiation.xlsx]'Coastal N Reductions'!AX48", 577.106)</f>
        <v>577.10599999999999</v>
      </c>
      <c r="P10" s="41">
        <f>N10-M10</f>
        <v>116.67999999999995</v>
      </c>
      <c r="Q10" s="41">
        <f>O10-M10</f>
        <v>100.26999999999998</v>
      </c>
      <c r="R10" s="40">
        <f>HYPERLINK("[N Only Old retention.xlsx]'Coastal N Reductions'!BF48", 39.12)</f>
        <v>39.119999999999997</v>
      </c>
      <c r="S10" s="40">
        <f>HYPERLINK("[N Only New retention.xlsx]'Coastal N Reductions'!BF48", 39.12)</f>
        <v>39.119999999999997</v>
      </c>
      <c r="T10" s="40">
        <f>HYPERLINK("[N Only with New retention and Differentiation.xlsx]'Coastal N Reductions'!BF48", 39.12)</f>
        <v>39.119999999999997</v>
      </c>
      <c r="U10" s="18"/>
      <c r="V10" s="18"/>
      <c r="W10" s="40">
        <f>HYPERLINK("[N Only Old retention.xlsx]'Coastal N Reductions'!BI48", 104.935999999995)</f>
        <v>104.935999999995</v>
      </c>
      <c r="X10" s="40">
        <f>HYPERLINK("[N Only New retention.xlsx]'Coastal N Reductions'!BI48", 106.746)</f>
        <v>106.746</v>
      </c>
      <c r="Y10" s="40">
        <f>HYPERLINK("[N Only with New retention and Differentiation.xlsx]'Coastal N Reductions'!BI48", 106.746)</f>
        <v>106.746</v>
      </c>
      <c r="Z10" s="41">
        <f>X10-W10</f>
        <v>1.8100000000049903</v>
      </c>
      <c r="AA10" s="41">
        <f>Y10-W10</f>
        <v>1.8100000000049903</v>
      </c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40">
        <f>HYPERLINK("[N Only Old retention.xlsx]'Coastal N Reductions'!AZ48", 282.228)</f>
        <v>282.22800000000001</v>
      </c>
      <c r="AM10" s="40">
        <f>HYPERLINK("[N Only New retention.xlsx]'Coastal N Reductions'!AZ48", 249.306)</f>
        <v>249.30600000000001</v>
      </c>
      <c r="AN10" s="40">
        <f>HYPERLINK("[N Only with New retention and Differentiation.xlsx]'Coastal N Reductions'!AZ48", 252.2658)</f>
        <v>252.26580000000001</v>
      </c>
      <c r="AO10" s="42">
        <f>AM10-AL10</f>
        <v>-32.921999999999997</v>
      </c>
      <c r="AP10" s="42">
        <f>AN10-AL10</f>
        <v>-29.962199999999996</v>
      </c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</row>
    <row r="11" spans="1:62" x14ac:dyDescent="0.55000000000000004">
      <c r="A11" s="31">
        <v>18</v>
      </c>
      <c r="B11" s="5" t="s">
        <v>159</v>
      </c>
      <c r="C11" s="13"/>
      <c r="D11" s="13"/>
      <c r="E11" s="13"/>
      <c r="F11" s="13"/>
      <c r="G11" s="13"/>
      <c r="H11" s="43">
        <f>HYPERLINK("[N Only Old retention.xlsx]'Coastal N Reductions'!AV49", 20.984)</f>
        <v>20.984000000000002</v>
      </c>
      <c r="I11" s="43">
        <f>HYPERLINK("[N Only New retention.xlsx]'Coastal N Reductions'!AV49", 24.502)</f>
        <v>24.501999999999999</v>
      </c>
      <c r="J11" s="43">
        <f>HYPERLINK("[N Only with New retention and Differentiation.xlsx]'Coastal N Reductions'!AV49", 24.502)</f>
        <v>24.501999999999999</v>
      </c>
      <c r="K11" s="41">
        <f>I11-H11</f>
        <v>3.5179999999999971</v>
      </c>
      <c r="L11" s="41">
        <f>J11-H11</f>
        <v>3.5179999999999971</v>
      </c>
      <c r="M11" s="43">
        <f>HYPERLINK("[N Only Old retention.xlsx]'Coastal N Reductions'!AX49", 54.9)</f>
        <v>54.9</v>
      </c>
      <c r="N11" s="43">
        <f>HYPERLINK("[N Only New retention.xlsx]'Coastal N Reductions'!AX49", 67.22)</f>
        <v>67.22</v>
      </c>
      <c r="O11" s="43">
        <f>HYPERLINK("[N Only with New retention and Differentiation.xlsx]'Coastal N Reductions'!AX49", 67.22)</f>
        <v>67.22</v>
      </c>
      <c r="P11" s="41">
        <f>N11-M11</f>
        <v>12.32</v>
      </c>
      <c r="Q11" s="41">
        <f>O11-M11</f>
        <v>12.32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43">
        <f>HYPERLINK("[N Only Old retention.xlsx]'Coastal N Reductions'!AZ49", 60.375)</f>
        <v>60.375</v>
      </c>
      <c r="AM11" s="43">
        <f>HYPERLINK("[N Only New retention.xlsx]'Coastal N Reductions'!AZ49", 34.0896)</f>
        <v>34.089599999999997</v>
      </c>
      <c r="AN11" s="43">
        <f>HYPERLINK("[N Only with New retention and Differentiation.xlsx]'Coastal N Reductions'!AZ49", 34.0896)</f>
        <v>34.089599999999997</v>
      </c>
      <c r="AO11" s="42">
        <f>AM11-AL11</f>
        <v>-26.285400000000003</v>
      </c>
      <c r="AP11" s="42">
        <f>AN11-AL11</f>
        <v>-26.285400000000003</v>
      </c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</row>
    <row r="12" spans="1:62" x14ac:dyDescent="0.55000000000000004">
      <c r="A12" s="30">
        <v>24</v>
      </c>
      <c r="B12" s="6" t="s">
        <v>160</v>
      </c>
      <c r="C12" s="40">
        <f>HYPERLINK("[N Only Old retention.xlsx]'Coastal N Reductions'!BD75", 864.669999999892)</f>
        <v>864.66999999989196</v>
      </c>
      <c r="D12" s="40">
        <f>HYPERLINK("[N Only New retention.xlsx]'Coastal N Reductions'!BD75", 1009.762)</f>
        <v>1009.7619999999999</v>
      </c>
      <c r="E12" s="18"/>
      <c r="F12" s="41">
        <f>D12-C12</f>
        <v>145.09200000010799</v>
      </c>
      <c r="G12" s="42">
        <f>E12-C12</f>
        <v>-864.66999999989196</v>
      </c>
      <c r="H12" s="40">
        <f>HYPERLINK("[N Only Old retention.xlsx]'Coastal N Reductions'!AV75", 525.267999999886)</f>
        <v>525.267999999886</v>
      </c>
      <c r="I12" s="40">
        <f>HYPERLINK("[N Only New retention.xlsx]'Coastal N Reductions'!AV75", 471.902)</f>
        <v>471.90199999999999</v>
      </c>
      <c r="J12" s="40">
        <f>HYPERLINK("[N Only with New retention and Differentiation.xlsx]'Coastal N Reductions'!AV75", 465.764)</f>
        <v>465.76400000000001</v>
      </c>
      <c r="K12" s="42">
        <f>I12-H12</f>
        <v>-53.365999999886014</v>
      </c>
      <c r="L12" s="42">
        <f>J12-H12</f>
        <v>-59.503999999885991</v>
      </c>
      <c r="M12" s="40">
        <f>HYPERLINK("[N Only Old retention.xlsx]'Coastal N Reductions'!AX75", 387.149999999859)</f>
        <v>387.14999999985901</v>
      </c>
      <c r="N12" s="40">
        <f>HYPERLINK("[N Only New retention.xlsx]'Coastal N Reductions'!AX75", 266.56)</f>
        <v>266.56</v>
      </c>
      <c r="O12" s="40">
        <f>HYPERLINK("[N Only with New retention and Differentiation.xlsx]'Coastal N Reductions'!AX75", 184.484)</f>
        <v>184.48400000000001</v>
      </c>
      <c r="P12" s="42">
        <f>N12-M12</f>
        <v>-120.589999999859</v>
      </c>
      <c r="Q12" s="42">
        <f>O12-M12</f>
        <v>-202.665999999859</v>
      </c>
      <c r="R12" s="40">
        <f>HYPERLINK("[N Only Old retention.xlsx]'Coastal N Reductions'!BF75", 556.499999999871)</f>
        <v>556.49999999987097</v>
      </c>
      <c r="S12" s="40">
        <f>HYPERLINK("[N Only New retention.xlsx]'Coastal N Reductions'!BF75", 526.155999999925)</f>
        <v>526.15599999992503</v>
      </c>
      <c r="T12" s="40">
        <f>HYPERLINK("[N Only with New retention and Differentiation.xlsx]'Coastal N Reductions'!BF75", 1586.408)</f>
        <v>1586.4079999999999</v>
      </c>
      <c r="U12" s="42">
        <f>S12-R12</f>
        <v>-30.343999999945936</v>
      </c>
      <c r="V12" s="41">
        <f>T12-R12</f>
        <v>1029.9080000001291</v>
      </c>
      <c r="W12" s="40">
        <f>HYPERLINK("[N Only Old retention.xlsx]'Coastal N Reductions'!BI75", 128.709999999983)</f>
        <v>128.70999999998301</v>
      </c>
      <c r="X12" s="40">
        <f>HYPERLINK("[N Only New retention.xlsx]'Coastal N Reductions'!BI75", 127.67)</f>
        <v>127.67</v>
      </c>
      <c r="Y12" s="40">
        <f>HYPERLINK("[N Only with New retention and Differentiation.xlsx]'Coastal N Reductions'!BI75", 127.582)</f>
        <v>127.58199999999999</v>
      </c>
      <c r="Z12" s="42">
        <f>X12-W12</f>
        <v>-1.0399999999830101</v>
      </c>
      <c r="AA12" s="42">
        <f>Y12-W12</f>
        <v>-1.1279999999830181</v>
      </c>
      <c r="AB12" s="26">
        <f>HYPERLINK("[N Only Old retention.xlsx]'Coastal N Reductions'!BS75", 800)</f>
        <v>800</v>
      </c>
      <c r="AC12" s="18"/>
      <c r="AD12" s="18"/>
      <c r="AE12" s="21">
        <f>AC12-AB12</f>
        <v>-800</v>
      </c>
      <c r="AF12" s="21">
        <f>AD12-AB12</f>
        <v>-800</v>
      </c>
      <c r="AG12" s="40">
        <f>HYPERLINK("[N Only Old retention.xlsx]'Coastal N Reductions'!BH75", 12.5199999999562)</f>
        <v>12.5199999999562</v>
      </c>
      <c r="AH12" s="40">
        <f>HYPERLINK("[N Only New retention.xlsx]'Coastal N Reductions'!BH75", 5.29)</f>
        <v>5.29</v>
      </c>
      <c r="AI12" s="40">
        <f>HYPERLINK("[N Only with New retention and Differentiation.xlsx]'Coastal N Reductions'!BH75", 5.29)</f>
        <v>5.29</v>
      </c>
      <c r="AJ12" s="42">
        <f>AH12-AG12</f>
        <v>-7.2299999999561999</v>
      </c>
      <c r="AK12" s="42">
        <f>AI12-AG12</f>
        <v>-7.2299999999561999</v>
      </c>
      <c r="AL12" s="40">
        <f>HYPERLINK("[N Only Old retention.xlsx]'Coastal N Reductions'!AZ75", 114.5646)</f>
        <v>114.5646</v>
      </c>
      <c r="AM12" s="40">
        <f>HYPERLINK("[N Only New retention.xlsx]'Coastal N Reductions'!AZ75", 141.3864)</f>
        <v>141.38640000000001</v>
      </c>
      <c r="AN12" s="40">
        <f>HYPERLINK("[N Only with New retention and Differentiation.xlsx]'Coastal N Reductions'!AZ75", 146.9454)</f>
        <v>146.94540000000001</v>
      </c>
      <c r="AO12" s="41">
        <f>AM12-AL12</f>
        <v>26.82180000000001</v>
      </c>
      <c r="AP12" s="41">
        <f>AN12-AL12</f>
        <v>32.380800000000008</v>
      </c>
      <c r="AQ12" s="40">
        <f>HYPERLINK("[N Only Old retention.xlsx]'Coastal N Reductions'!BE75", 13.513999999975)</f>
        <v>13.513999999975001</v>
      </c>
      <c r="AR12" s="40">
        <f>HYPERLINK("[N Only New retention.xlsx]'Coastal N Reductions'!BE75", 11.939999999975)</f>
        <v>11.939999999975001</v>
      </c>
      <c r="AS12" s="40">
        <f>HYPERLINK("[N Only with New retention and Differentiation.xlsx]'Coastal N Reductions'!BE75", 12.826)</f>
        <v>12.826000000000001</v>
      </c>
      <c r="AT12" s="42">
        <f>AR12-AQ12</f>
        <v>-1.5739999999999998</v>
      </c>
      <c r="AU12" s="42">
        <f>AS12-AQ12</f>
        <v>-0.68799999997500016</v>
      </c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</row>
    <row r="13" spans="1:62" x14ac:dyDescent="0.55000000000000004">
      <c r="A13" s="31">
        <v>25</v>
      </c>
      <c r="B13" s="5" t="s">
        <v>161</v>
      </c>
      <c r="C13" s="13"/>
      <c r="D13" s="13"/>
      <c r="E13" s="13"/>
      <c r="F13" s="13"/>
      <c r="G13" s="13"/>
      <c r="H13" s="43">
        <f>HYPERLINK("[N Only Old retention.xlsx]'Coastal N Reductions'!AV76", 15.534)</f>
        <v>15.534000000000001</v>
      </c>
      <c r="I13" s="43">
        <f>HYPERLINK("[N Only New retention.xlsx]'Coastal N Reductions'!AV76", 5.63)</f>
        <v>5.63</v>
      </c>
      <c r="J13" s="13"/>
      <c r="K13" s="42">
        <f>I13-H13</f>
        <v>-9.9039999999999999</v>
      </c>
      <c r="L13" s="42">
        <f>J13-H13</f>
        <v>-15.534000000000001</v>
      </c>
      <c r="M13" s="43">
        <f>HYPERLINK("[N Only Old retention.xlsx]'Coastal N Reductions'!AX76", 59.7079999999328)</f>
        <v>59.707999999932802</v>
      </c>
      <c r="N13" s="43">
        <f>HYPERLINK("[N Only New retention.xlsx]'Coastal N Reductions'!AX76", 52.858)</f>
        <v>52.857999999999997</v>
      </c>
      <c r="O13" s="43">
        <f>HYPERLINK("[N Only with New retention and Differentiation.xlsx]'Coastal N Reductions'!AX76", 52.858)</f>
        <v>52.857999999999997</v>
      </c>
      <c r="P13" s="42">
        <f>N13-M13</f>
        <v>-6.8499999999328054</v>
      </c>
      <c r="Q13" s="42">
        <f>O13-M13</f>
        <v>-6.8499999999328054</v>
      </c>
      <c r="R13" s="13"/>
      <c r="S13" s="13"/>
      <c r="T13" s="13"/>
      <c r="U13" s="13"/>
      <c r="V13" s="13"/>
      <c r="W13" s="43">
        <f>HYPERLINK("[N Only Old retention.xlsx]'Coastal N Reductions'!BI76", 17.8399999999947)</f>
        <v>17.839999999994699</v>
      </c>
      <c r="X13" s="43">
        <f>HYPERLINK("[N Only New retention.xlsx]'Coastal N Reductions'!BI76", 22.452)</f>
        <v>22.452000000000002</v>
      </c>
      <c r="Y13" s="43">
        <f>HYPERLINK("[N Only with New retention and Differentiation.xlsx]'Coastal N Reductions'!BI76", 22.452)</f>
        <v>22.452000000000002</v>
      </c>
      <c r="Z13" s="41">
        <f>X13-W13</f>
        <v>4.6120000000053025</v>
      </c>
      <c r="AA13" s="41">
        <f>Y13-W13</f>
        <v>4.6120000000053025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43">
        <f>HYPERLINK("[N Only Old retention.xlsx]'Coastal N Reductions'!AZ76", 105.0018)</f>
        <v>105.0018</v>
      </c>
      <c r="AM13" s="43">
        <f>HYPERLINK("[N Only New retention.xlsx]'Coastal N Reductions'!AZ76", 87.3696)</f>
        <v>87.369600000000005</v>
      </c>
      <c r="AN13" s="43">
        <f>HYPERLINK("[N Only with New retention and Differentiation.xlsx]'Coastal N Reductions'!AZ76", 88.0392)</f>
        <v>88.039199999999994</v>
      </c>
      <c r="AO13" s="42">
        <f>AM13-AL13</f>
        <v>-17.632199999999997</v>
      </c>
      <c r="AP13" s="42">
        <f>AN13-AL13</f>
        <v>-16.962600000000009</v>
      </c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</row>
    <row r="14" spans="1:62" x14ac:dyDescent="0.55000000000000004">
      <c r="A14" s="30">
        <v>28</v>
      </c>
      <c r="B14" s="6" t="s">
        <v>162</v>
      </c>
      <c r="C14" s="18"/>
      <c r="D14" s="18"/>
      <c r="E14" s="18"/>
      <c r="F14" s="18"/>
      <c r="G14" s="18"/>
      <c r="H14" s="40">
        <f>HYPERLINK("[N Only Old retention.xlsx]'Coastal N Reductions'!AV77", 601.86)</f>
        <v>601.86</v>
      </c>
      <c r="I14" s="40">
        <f>HYPERLINK("[N Only New retention.xlsx]'Coastal N Reductions'!AV77", 277.376)</f>
        <v>277.37599999999998</v>
      </c>
      <c r="J14" s="40">
        <f>HYPERLINK("[N Only with New retention and Differentiation.xlsx]'Coastal N Reductions'!AV77", 277.376)</f>
        <v>277.37599999999998</v>
      </c>
      <c r="K14" s="42">
        <f>I14-H14</f>
        <v>-324.48400000000004</v>
      </c>
      <c r="L14" s="42">
        <f>J14-H14</f>
        <v>-324.48400000000004</v>
      </c>
      <c r="M14" s="40">
        <f>HYPERLINK("[N Only Old retention.xlsx]'Coastal N Reductions'!AX77", 127.472)</f>
        <v>127.47199999999999</v>
      </c>
      <c r="N14" s="40">
        <f>HYPERLINK("[N Only New retention.xlsx]'Coastal N Reductions'!AX77", 72.954)</f>
        <v>72.953999999999994</v>
      </c>
      <c r="O14" s="40">
        <f>HYPERLINK("[N Only with New retention and Differentiation.xlsx]'Coastal N Reductions'!AX77", 69.634)</f>
        <v>69.634</v>
      </c>
      <c r="P14" s="42">
        <f>N14-M14</f>
        <v>-54.518000000000001</v>
      </c>
      <c r="Q14" s="42">
        <f>O14-M14</f>
        <v>-57.837999999999994</v>
      </c>
      <c r="R14" s="40">
        <f>HYPERLINK("[N Only Old retention.xlsx]'Coastal N Reductions'!BF77", 213.151999999919)</f>
        <v>213.15199999991901</v>
      </c>
      <c r="S14" s="40">
        <f>HYPERLINK("[N Only New retention.xlsx]'Coastal N Reductions'!BF77", 174.064)</f>
        <v>174.06399999999999</v>
      </c>
      <c r="T14" s="40">
        <f>HYPERLINK("[N Only with New retention and Differentiation.xlsx]'Coastal N Reductions'!BF77", 243.292)</f>
        <v>243.292</v>
      </c>
      <c r="U14" s="42">
        <f>S14-R14</f>
        <v>-39.08799999991902</v>
      </c>
      <c r="V14" s="41">
        <f>T14-R14</f>
        <v>30.140000000080988</v>
      </c>
      <c r="W14" s="18"/>
      <c r="X14" s="40">
        <f>HYPERLINK("[N Only New retention.xlsx]'Coastal N Reductions'!BI77", 51.876)</f>
        <v>51.875999999999998</v>
      </c>
      <c r="Y14" s="40">
        <f>HYPERLINK("[N Only with New retention and Differentiation.xlsx]'Coastal N Reductions'!BI77", 43.506)</f>
        <v>43.506</v>
      </c>
      <c r="Z14" s="41">
        <f>X14-W14</f>
        <v>51.875999999999998</v>
      </c>
      <c r="AA14" s="41">
        <f>Y14-W14</f>
        <v>43.506</v>
      </c>
      <c r="AB14" s="18"/>
      <c r="AC14" s="18"/>
      <c r="AD14" s="18"/>
      <c r="AE14" s="18"/>
      <c r="AF14" s="18"/>
      <c r="AG14" s="40">
        <f>HYPERLINK("[N Only Old retention.xlsx]'Coastal N Reductions'!BH77", 42.2199999999476)</f>
        <v>42.219999999947603</v>
      </c>
      <c r="AH14" s="40">
        <f>HYPERLINK("[N Only New retention.xlsx]'Coastal N Reductions'!BH77", 52.322)</f>
        <v>52.322000000000003</v>
      </c>
      <c r="AI14" s="40">
        <f>HYPERLINK("[N Only with New retention and Differentiation.xlsx]'Coastal N Reductions'!BH77", 51.752)</f>
        <v>51.752000000000002</v>
      </c>
      <c r="AJ14" s="41">
        <f>AH14-AG14</f>
        <v>10.102000000052399</v>
      </c>
      <c r="AK14" s="41">
        <f>AI14-AG14</f>
        <v>9.532000000052399</v>
      </c>
      <c r="AL14" s="40">
        <f>HYPERLINK("[N Only Old retention.xlsx]'Coastal N Reductions'!AZ77", 276.63)</f>
        <v>276.63</v>
      </c>
      <c r="AM14" s="18"/>
      <c r="AN14" s="18"/>
      <c r="AO14" s="42">
        <f>AM14-AL14</f>
        <v>-276.63</v>
      </c>
      <c r="AP14" s="42">
        <f>AN14-AL14</f>
        <v>-276.63</v>
      </c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</row>
    <row r="15" spans="1:62" x14ac:dyDescent="0.55000000000000004">
      <c r="A15" s="31">
        <v>29</v>
      </c>
      <c r="B15" s="5" t="s">
        <v>163</v>
      </c>
      <c r="C15" s="13"/>
      <c r="D15" s="13"/>
      <c r="E15" s="13"/>
      <c r="F15" s="13"/>
      <c r="G15" s="13"/>
      <c r="H15" s="43">
        <f>HYPERLINK("[N Only Old retention.xlsx]'Coastal N Reductions'!AV78", 213.539999999935)</f>
        <v>213.53999999993499</v>
      </c>
      <c r="I15" s="43">
        <f>HYPERLINK("[N Only New retention.xlsx]'Coastal N Reductions'!AV78", 197.131999999907)</f>
        <v>197.13199999990701</v>
      </c>
      <c r="J15" s="43">
        <f>HYPERLINK("[N Only with New retention and Differentiation.xlsx]'Coastal N Reductions'!AV78", 194.839999999907)</f>
        <v>194.83999999990701</v>
      </c>
      <c r="K15" s="42">
        <f>I15-H15</f>
        <v>-16.408000000027982</v>
      </c>
      <c r="L15" s="42">
        <f>J15-H15</f>
        <v>-18.700000000027984</v>
      </c>
      <c r="M15" s="43">
        <f>HYPERLINK("[N Only Old retention.xlsx]'Coastal N Reductions'!AX78", 118.624)</f>
        <v>118.624</v>
      </c>
      <c r="N15" s="43">
        <f>HYPERLINK("[N Only New retention.xlsx]'Coastal N Reductions'!AX78", 80.476)</f>
        <v>80.475999999999999</v>
      </c>
      <c r="O15" s="43">
        <f>HYPERLINK("[N Only with New retention and Differentiation.xlsx]'Coastal N Reductions'!AX78", 80.476)</f>
        <v>80.475999999999999</v>
      </c>
      <c r="P15" s="42">
        <f>N15-M15</f>
        <v>-38.147999999999996</v>
      </c>
      <c r="Q15" s="42">
        <f>O15-M15</f>
        <v>-38.147999999999996</v>
      </c>
      <c r="R15" s="13"/>
      <c r="S15" s="43">
        <f>HYPERLINK("[N Only New retention.xlsx]'Coastal N Reductions'!BF78", 7.17)</f>
        <v>7.17</v>
      </c>
      <c r="T15" s="43">
        <f>HYPERLINK("[N Only with New retention and Differentiation.xlsx]'Coastal N Reductions'!BF78", 10.99)</f>
        <v>10.99</v>
      </c>
      <c r="U15" s="41">
        <f>S15-R15</f>
        <v>7.17</v>
      </c>
      <c r="V15" s="41">
        <f>T15-R15</f>
        <v>10.99</v>
      </c>
      <c r="W15" s="43">
        <f>HYPERLINK("[N Only Old retention.xlsx]'Coastal N Reductions'!BI78", 12.5519999999947)</f>
        <v>12.551999999994701</v>
      </c>
      <c r="X15" s="43">
        <f>HYPERLINK("[N Only New retention.xlsx]'Coastal N Reductions'!BI78", 27.58)</f>
        <v>27.58</v>
      </c>
      <c r="Y15" s="43">
        <f>HYPERLINK("[N Only with New retention and Differentiation.xlsx]'Coastal N Reductions'!BI78", 27.58)</f>
        <v>27.58</v>
      </c>
      <c r="Z15" s="41">
        <f>X15-W15</f>
        <v>15.028000000005298</v>
      </c>
      <c r="AA15" s="41">
        <f>Y15-W15</f>
        <v>15.028000000005298</v>
      </c>
      <c r="AB15" s="13"/>
      <c r="AC15" s="13"/>
      <c r="AD15" s="13"/>
      <c r="AE15" s="13"/>
      <c r="AF15" s="13"/>
      <c r="AG15" s="43">
        <f>HYPERLINK("[N Only Old retention.xlsx]'Coastal N Reductions'!BH78", 0.449999999970656)</f>
        <v>0.44999999997065598</v>
      </c>
      <c r="AH15" s="43">
        <f>HYPERLINK("[N Only New retention.xlsx]'Coastal N Reductions'!BH78", 0.0399999999999999)</f>
        <v>3.9999999999999897E-2</v>
      </c>
      <c r="AI15" s="43">
        <f>HYPERLINK("[N Only with New retention and Differentiation.xlsx]'Coastal N Reductions'!BH78", 0.0399999999999999)</f>
        <v>3.9999999999999897E-2</v>
      </c>
      <c r="AJ15" s="42">
        <f>AH15-AG15</f>
        <v>-0.40999999997065606</v>
      </c>
      <c r="AK15" s="42">
        <f>AI15-AG15</f>
        <v>-0.40999999997065606</v>
      </c>
      <c r="AL15" s="43">
        <f>HYPERLINK("[N Only Old retention.xlsx]'Coastal N Reductions'!AZ78", 192.5964)</f>
        <v>192.59639999999999</v>
      </c>
      <c r="AM15" s="43">
        <f>HYPERLINK("[N Only New retention.xlsx]'Coastal N Reductions'!AZ78", 219.8448)</f>
        <v>219.84479999999999</v>
      </c>
      <c r="AN15" s="43">
        <f>HYPERLINK("[N Only with New retention and Differentiation.xlsx]'Coastal N Reductions'!AZ78", 219.959999999849)</f>
        <v>219.959999999849</v>
      </c>
      <c r="AO15" s="41">
        <f>AM15-AL15</f>
        <v>27.248400000000004</v>
      </c>
      <c r="AP15" s="41">
        <f>AN15-AL15</f>
        <v>27.363599999849015</v>
      </c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</row>
    <row r="16" spans="1:62" x14ac:dyDescent="0.55000000000000004">
      <c r="A16" s="30">
        <v>34</v>
      </c>
      <c r="B16" s="6" t="s">
        <v>164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</row>
    <row r="17" spans="1:62" x14ac:dyDescent="0.55000000000000004">
      <c r="A17" s="31">
        <v>35</v>
      </c>
      <c r="B17" s="5" t="s">
        <v>165</v>
      </c>
      <c r="C17" s="43">
        <f>HYPERLINK("[N Only Old retention.xlsx]'Coastal N Reductions'!BD80", 999.513999999841)</f>
        <v>999.51399999984096</v>
      </c>
      <c r="D17" s="43">
        <f>HYPERLINK("[N Only New retention.xlsx]'Coastal N Reductions'!BD80", 1078.506)</f>
        <v>1078.5060000000001</v>
      </c>
      <c r="E17" s="13"/>
      <c r="F17" s="41">
        <f>D17-C17</f>
        <v>78.992000000159123</v>
      </c>
      <c r="G17" s="42">
        <f>E17-C17</f>
        <v>-999.51399999984096</v>
      </c>
      <c r="H17" s="43">
        <f>HYPERLINK("[N Only Old retention.xlsx]'Coastal N Reductions'!AV80", 2525.31799999974)</f>
        <v>2525.3179999997401</v>
      </c>
      <c r="I17" s="43">
        <f>HYPERLINK("[N Only New retention.xlsx]'Coastal N Reductions'!AV80", 3000.776)</f>
        <v>3000.7759999999998</v>
      </c>
      <c r="J17" s="43">
        <f>HYPERLINK("[N Only with New retention and Differentiation.xlsx]'Coastal N Reductions'!AV80", 2930.998)</f>
        <v>2930.998</v>
      </c>
      <c r="K17" s="41">
        <f>I17-H17</f>
        <v>475.45800000025974</v>
      </c>
      <c r="L17" s="41">
        <f>J17-H17</f>
        <v>405.68000000025995</v>
      </c>
      <c r="M17" s="43">
        <f>HYPERLINK("[N Only Old retention.xlsx]'Coastal N Reductions'!AX80", 2983.98199999901)</f>
        <v>2983.98199999901</v>
      </c>
      <c r="N17" s="43">
        <f>HYPERLINK("[N Only New retention.xlsx]'Coastal N Reductions'!AX80", 3513.3519999999)</f>
        <v>3513.3519999998998</v>
      </c>
      <c r="O17" s="43">
        <f>HYPERLINK("[N Only with New retention and Differentiation.xlsx]'Coastal N Reductions'!AX80", 3249.032)</f>
        <v>3249.0320000000002</v>
      </c>
      <c r="P17" s="41">
        <f>N17-M17</f>
        <v>529.37000000088983</v>
      </c>
      <c r="Q17" s="41">
        <f>O17-M17</f>
        <v>265.05000000099017</v>
      </c>
      <c r="R17" s="43">
        <f>HYPERLINK("[N Only Old retention.xlsx]'Coastal N Reductions'!BF80", 550.821999999964)</f>
        <v>550.82199999996396</v>
      </c>
      <c r="S17" s="43">
        <f>HYPERLINK("[N Only New retention.xlsx]'Coastal N Reductions'!BF80", 616.102)</f>
        <v>616.10199999999998</v>
      </c>
      <c r="T17" s="43">
        <f>HYPERLINK("[N Only with New retention and Differentiation.xlsx]'Coastal N Reductions'!BF80", 1941.604)</f>
        <v>1941.604</v>
      </c>
      <c r="U17" s="41">
        <f>S17-R17</f>
        <v>65.280000000036011</v>
      </c>
      <c r="V17" s="41">
        <f>T17-R17</f>
        <v>1390.7820000000361</v>
      </c>
      <c r="W17" s="43">
        <f>HYPERLINK("[N Only Old retention.xlsx]'Coastal N Reductions'!BI80", 19.1639999999947)</f>
        <v>19.163999999994701</v>
      </c>
      <c r="X17" s="43">
        <f>HYPERLINK("[N Only New retention.xlsx]'Coastal N Reductions'!BI80", 84.832)</f>
        <v>84.831999999999994</v>
      </c>
      <c r="Y17" s="43">
        <f>HYPERLINK("[N Only with New retention and Differentiation.xlsx]'Coastal N Reductions'!BI80", 83.612)</f>
        <v>83.611999999999995</v>
      </c>
      <c r="Z17" s="41">
        <f>X17-W17</f>
        <v>65.668000000005293</v>
      </c>
      <c r="AA17" s="41">
        <f>Y17-W17</f>
        <v>64.448000000005294</v>
      </c>
      <c r="AB17" s="13"/>
      <c r="AC17" s="13"/>
      <c r="AD17" s="13"/>
      <c r="AE17" s="13"/>
      <c r="AF17" s="13"/>
      <c r="AG17" s="43">
        <f>HYPERLINK("[N Only Old retention.xlsx]'Coastal N Reductions'!BH80", 49.6939999999052)</f>
        <v>49.693999999905202</v>
      </c>
      <c r="AH17" s="43">
        <f>HYPERLINK("[N Only New retention.xlsx]'Coastal N Reductions'!BH80", 59.882)</f>
        <v>59.881999999999998</v>
      </c>
      <c r="AI17" s="43">
        <f>HYPERLINK("[N Only with New retention and Differentiation.xlsx]'Coastal N Reductions'!BH80", 57.5019999999344)</f>
        <v>57.501999999934398</v>
      </c>
      <c r="AJ17" s="41">
        <f>AH17-AG17</f>
        <v>10.188000000094796</v>
      </c>
      <c r="AK17" s="41">
        <f>AI17-AG17</f>
        <v>7.808000000029196</v>
      </c>
      <c r="AL17" s="43">
        <f>HYPERLINK("[N Only Old retention.xlsx]'Coastal N Reductions'!AZ80", 2478.2069999999)</f>
        <v>2478.2069999998998</v>
      </c>
      <c r="AM17" s="43">
        <f>HYPERLINK("[N Only New retention.xlsx]'Coastal N Reductions'!AZ80", 3250.0224)</f>
        <v>3250.0223999999998</v>
      </c>
      <c r="AN17" s="43">
        <f>HYPERLINK("[N Only with New retention and Differentiation.xlsx]'Coastal N Reductions'!AZ80", 3298.038)</f>
        <v>3298.038</v>
      </c>
      <c r="AO17" s="41">
        <f>AM17-AL17</f>
        <v>771.8154000001</v>
      </c>
      <c r="AP17" s="41">
        <f>AN17-AL17</f>
        <v>819.83100000010018</v>
      </c>
      <c r="AQ17" s="13"/>
      <c r="AR17" s="43">
        <f>HYPERLINK("[N Only New retention.xlsx]'Coastal N Reductions'!BE80", 2.544)</f>
        <v>2.544</v>
      </c>
      <c r="AS17" s="43">
        <f>HYPERLINK("[N Only with New retention and Differentiation.xlsx]'Coastal N Reductions'!BE80", 4.318)</f>
        <v>4.3179999999999996</v>
      </c>
      <c r="AT17" s="41">
        <f>AR17-AQ17</f>
        <v>2.544</v>
      </c>
      <c r="AU17" s="41">
        <f>AS17-AQ17</f>
        <v>4.3179999999999996</v>
      </c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</row>
    <row r="18" spans="1:62" x14ac:dyDescent="0.55000000000000004">
      <c r="A18" s="30">
        <v>36</v>
      </c>
      <c r="B18" s="6" t="s">
        <v>166</v>
      </c>
      <c r="C18" s="40">
        <f>HYPERLINK("[N Only Old retention.xlsx]'Coastal N Reductions'!BD81", 152.476)</f>
        <v>152.476</v>
      </c>
      <c r="D18" s="40">
        <f>HYPERLINK("[N Only New retention.xlsx]'Coastal N Reductions'!BD81", 160.226)</f>
        <v>160.226</v>
      </c>
      <c r="E18" s="18"/>
      <c r="F18" s="41">
        <f>D18-C18</f>
        <v>7.75</v>
      </c>
      <c r="G18" s="42">
        <f>E18-C18</f>
        <v>-152.476</v>
      </c>
      <c r="H18" s="40">
        <f>HYPERLINK("[N Only Old retention.xlsx]'Coastal N Reductions'!AV81", 219.84399999992)</f>
        <v>219.84399999991999</v>
      </c>
      <c r="I18" s="40">
        <f>HYPERLINK("[N Only New retention.xlsx]'Coastal N Reductions'!AV81", 204.454)</f>
        <v>204.45400000000001</v>
      </c>
      <c r="J18" s="40">
        <f>HYPERLINK("[N Only with New retention and Differentiation.xlsx]'Coastal N Reductions'!AV81", 204.35)</f>
        <v>204.35</v>
      </c>
      <c r="K18" s="42">
        <f>I18-H18</f>
        <v>-15.389999999919979</v>
      </c>
      <c r="L18" s="42">
        <f>J18-H18</f>
        <v>-15.493999999919993</v>
      </c>
      <c r="M18" s="40">
        <f>HYPERLINK("[N Only Old retention.xlsx]'Coastal N Reductions'!AX81", 80.478)</f>
        <v>80.477999999999994</v>
      </c>
      <c r="N18" s="40">
        <f>HYPERLINK("[N Only New retention.xlsx]'Coastal N Reductions'!AX81", 74.278)</f>
        <v>74.278000000000006</v>
      </c>
      <c r="O18" s="40">
        <f>HYPERLINK("[N Only with New retention and Differentiation.xlsx]'Coastal N Reductions'!AX81", 76.308)</f>
        <v>76.308000000000007</v>
      </c>
      <c r="P18" s="42">
        <f>N18-M18</f>
        <v>-6.1999999999999886</v>
      </c>
      <c r="Q18" s="42">
        <f>O18-M18</f>
        <v>-4.1699999999999875</v>
      </c>
      <c r="R18" s="18"/>
      <c r="S18" s="18"/>
      <c r="T18" s="40">
        <f>HYPERLINK("[N Only with New retention and Differentiation.xlsx]'Coastal N Reductions'!BF81", 169.445999999959)</f>
        <v>169.44599999995901</v>
      </c>
      <c r="U18" s="18"/>
      <c r="V18" s="41">
        <f>T18-R18</f>
        <v>169.44599999995901</v>
      </c>
      <c r="W18" s="18"/>
      <c r="X18" s="40">
        <f>HYPERLINK("[N Only New retention.xlsx]'Coastal N Reductions'!BI81", 9.76999999999999)</f>
        <v>9.7699999999999907</v>
      </c>
      <c r="Y18" s="40">
        <f>HYPERLINK("[N Only with New retention and Differentiation.xlsx]'Coastal N Reductions'!BI81", 8.32999999999999)</f>
        <v>8.3299999999999894</v>
      </c>
      <c r="Z18" s="41">
        <f>X18-W18</f>
        <v>9.7699999999999907</v>
      </c>
      <c r="AA18" s="41">
        <f>Y18-W18</f>
        <v>8.3299999999999894</v>
      </c>
      <c r="AB18" s="18"/>
      <c r="AC18" s="18"/>
      <c r="AD18" s="18"/>
      <c r="AE18" s="18"/>
      <c r="AF18" s="18"/>
      <c r="AG18" s="40">
        <f>HYPERLINK("[N Only Old retention.xlsx]'Coastal N Reductions'!BH81", 1.11)</f>
        <v>1.1100000000000001</v>
      </c>
      <c r="AH18" s="40">
        <f>HYPERLINK("[N Only New retention.xlsx]'Coastal N Reductions'!BH81", 2.35)</f>
        <v>2.35</v>
      </c>
      <c r="AI18" s="40">
        <f>HYPERLINK("[N Only with New retention and Differentiation.xlsx]'Coastal N Reductions'!BH81", 1.82999999998534)</f>
        <v>1.82999999998534</v>
      </c>
      <c r="AJ18" s="41">
        <f>AH18-AG18</f>
        <v>1.24</v>
      </c>
      <c r="AK18" s="41">
        <f>AI18-AG18</f>
        <v>0.71999999998533992</v>
      </c>
      <c r="AL18" s="40">
        <f>HYPERLINK("[N Only Old retention.xlsx]'Coastal N Reductions'!AZ81", 205.641)</f>
        <v>205.64099999999999</v>
      </c>
      <c r="AM18" s="40">
        <f>HYPERLINK("[N Only New retention.xlsx]'Coastal N Reductions'!AZ81", 199.039799999889)</f>
        <v>199.039799999889</v>
      </c>
      <c r="AN18" s="40">
        <f>HYPERLINK("[N Only with New retention and Differentiation.xlsx]'Coastal N Reductions'!AZ81", 198.1458)</f>
        <v>198.14580000000001</v>
      </c>
      <c r="AO18" s="42">
        <f>AM18-AL18</f>
        <v>-6.6012000001109925</v>
      </c>
      <c r="AP18" s="42">
        <f>AN18-AL18</f>
        <v>-7.4951999999999828</v>
      </c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</row>
    <row r="19" spans="1:62" x14ac:dyDescent="0.55000000000000004">
      <c r="A19" s="31">
        <v>37</v>
      </c>
      <c r="B19" s="5" t="s">
        <v>167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1:62" x14ac:dyDescent="0.55000000000000004">
      <c r="A20" s="30">
        <v>38</v>
      </c>
      <c r="B20" s="6" t="s">
        <v>168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</row>
    <row r="21" spans="1:62" x14ac:dyDescent="0.55000000000000004">
      <c r="A21" s="31">
        <v>44</v>
      </c>
      <c r="B21" s="5" t="s">
        <v>169</v>
      </c>
      <c r="C21" s="43">
        <f>HYPERLINK("[N Only Old retention.xlsx]'Coastal N Reductions'!BD84", 94.06)</f>
        <v>94.06</v>
      </c>
      <c r="D21" s="43">
        <f>HYPERLINK("[N Only New retention.xlsx]'Coastal N Reductions'!BD84", 87.1)</f>
        <v>87.1</v>
      </c>
      <c r="E21" s="43">
        <f>HYPERLINK("[N Only with New retention and Differentiation.xlsx]'Coastal N Reductions'!BD84", 77.98)</f>
        <v>77.98</v>
      </c>
      <c r="F21" s="42">
        <f>D21-C21</f>
        <v>-6.960000000000008</v>
      </c>
      <c r="G21" s="42">
        <f>E21-C21</f>
        <v>-16.079999999999998</v>
      </c>
      <c r="H21" s="43">
        <f>HYPERLINK("[N Only Old retention.xlsx]'Coastal N Reductions'!AV84", 633.868)</f>
        <v>633.86800000000005</v>
      </c>
      <c r="I21" s="43">
        <f>HYPERLINK("[N Only New retention.xlsx]'Coastal N Reductions'!AV84", 519.322)</f>
        <v>519.322</v>
      </c>
      <c r="J21" s="43">
        <f>HYPERLINK("[N Only with New retention and Differentiation.xlsx]'Coastal N Reductions'!AV84", 518.188)</f>
        <v>518.18799999999999</v>
      </c>
      <c r="K21" s="42">
        <f>I21-H21</f>
        <v>-114.54600000000005</v>
      </c>
      <c r="L21" s="42">
        <f>J21-H21</f>
        <v>-115.68000000000006</v>
      </c>
      <c r="M21" s="43">
        <f>HYPERLINK("[N Only Old retention.xlsx]'Coastal N Reductions'!AX84", 1601.55799999984)</f>
        <v>1601.5579999998399</v>
      </c>
      <c r="N21" s="43">
        <f>HYPERLINK("[N Only New retention.xlsx]'Coastal N Reductions'!AX84", 658.293999999908)</f>
        <v>658.29399999990801</v>
      </c>
      <c r="O21" s="43">
        <f>HYPERLINK("[N Only with New retention and Differentiation.xlsx]'Coastal N Reductions'!AX84", 654.084)</f>
        <v>654.08399999999995</v>
      </c>
      <c r="P21" s="42">
        <f>N21-M21</f>
        <v>-943.26399999993191</v>
      </c>
      <c r="Q21" s="42">
        <f>O21-M21</f>
        <v>-947.47399999983998</v>
      </c>
      <c r="R21" s="43">
        <f>HYPERLINK("[N Only Old retention.xlsx]'Coastal N Reductions'!BF84", 4.54)</f>
        <v>4.54</v>
      </c>
      <c r="S21" s="13"/>
      <c r="T21" s="43">
        <f>HYPERLINK("[N Only with New retention and Differentiation.xlsx]'Coastal N Reductions'!BF84", 14.91)</f>
        <v>14.91</v>
      </c>
      <c r="U21" s="42">
        <f>S21-R21</f>
        <v>-4.54</v>
      </c>
      <c r="V21" s="41">
        <f>T21-R21</f>
        <v>10.370000000000001</v>
      </c>
      <c r="W21" s="43">
        <f>HYPERLINK("[N Only Old retention.xlsx]'Coastal N Reductions'!BI84", 20.562)</f>
        <v>20.562000000000001</v>
      </c>
      <c r="X21" s="43">
        <f>HYPERLINK("[N Only New retention.xlsx]'Coastal N Reductions'!BI84", 21.012)</f>
        <v>21.012</v>
      </c>
      <c r="Y21" s="43">
        <f>HYPERLINK("[N Only with New retention and Differentiation.xlsx]'Coastal N Reductions'!BI84", 21.012)</f>
        <v>21.012</v>
      </c>
      <c r="Z21" s="41">
        <f>X21-W21</f>
        <v>0.44999999999999929</v>
      </c>
      <c r="AA21" s="41">
        <f>Y21-W21</f>
        <v>0.44999999999999929</v>
      </c>
      <c r="AB21" s="28">
        <f>HYPERLINK("[N Only Old retention.xlsx]'Coastal N Reductions'!BS84", 300)</f>
        <v>300</v>
      </c>
      <c r="AC21" s="28">
        <f>HYPERLINK("[N Only New retention.xlsx]'Coastal N Reductions'!BS84", 4100)</f>
        <v>4100</v>
      </c>
      <c r="AD21" s="28">
        <f>HYPERLINK("[N Only with New retention and Differentiation.xlsx]'Coastal N Reductions'!BS84", 4100)</f>
        <v>4100</v>
      </c>
      <c r="AE21" s="16">
        <f>AC21-AB21</f>
        <v>3800</v>
      </c>
      <c r="AF21" s="16">
        <f>AD21-AB21</f>
        <v>3800</v>
      </c>
      <c r="AG21" s="43">
        <f>HYPERLINK("[N Only Old retention.xlsx]'Coastal N Reductions'!BH84", 4.86)</f>
        <v>4.8600000000000003</v>
      </c>
      <c r="AH21" s="43">
        <f>HYPERLINK("[N Only New retention.xlsx]'Coastal N Reductions'!BH84", 17.64)</f>
        <v>17.64</v>
      </c>
      <c r="AI21" s="43">
        <f>HYPERLINK("[N Only with New retention and Differentiation.xlsx]'Coastal N Reductions'!BH84", 14.73)</f>
        <v>14.73</v>
      </c>
      <c r="AJ21" s="41">
        <f>AH21-AG21</f>
        <v>12.780000000000001</v>
      </c>
      <c r="AK21" s="41">
        <f>AI21-AG21</f>
        <v>9.870000000000001</v>
      </c>
      <c r="AL21" s="43">
        <f>HYPERLINK("[N Only Old retention.xlsx]'Coastal N Reductions'!AZ84", 100.791599999783)</f>
        <v>100.791599999783</v>
      </c>
      <c r="AM21" s="43">
        <f>HYPERLINK("[N Only New retention.xlsx]'Coastal N Reductions'!AZ84", 143.2074)</f>
        <v>143.20740000000001</v>
      </c>
      <c r="AN21" s="43">
        <f>HYPERLINK("[N Only with New retention and Differentiation.xlsx]'Coastal N Reductions'!AZ84", 143.2074)</f>
        <v>143.20740000000001</v>
      </c>
      <c r="AO21" s="41">
        <f>AM21-AL21</f>
        <v>42.415800000217004</v>
      </c>
      <c r="AP21" s="41">
        <f>AN21-AL21</f>
        <v>42.415800000217004</v>
      </c>
      <c r="AQ21" s="43">
        <f>HYPERLINK("[N Only Old retention.xlsx]'Coastal N Reductions'!BE84", 8.288)</f>
        <v>8.2880000000000003</v>
      </c>
      <c r="AR21" s="43">
        <f>HYPERLINK("[N Only New retention.xlsx]'Coastal N Reductions'!BE84", 9.33)</f>
        <v>9.33</v>
      </c>
      <c r="AS21" s="43">
        <f>HYPERLINK("[N Only with New retention and Differentiation.xlsx]'Coastal N Reductions'!BE84", 10.73)</f>
        <v>10.73</v>
      </c>
      <c r="AT21" s="41">
        <f>AR21-AQ21</f>
        <v>1.0419999999999998</v>
      </c>
      <c r="AU21" s="41">
        <f>AS21-AQ21</f>
        <v>2.4420000000000002</v>
      </c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</row>
    <row r="22" spans="1:62" x14ac:dyDescent="0.55000000000000004">
      <c r="A22" s="30">
        <v>45</v>
      </c>
      <c r="B22" s="6" t="s">
        <v>170</v>
      </c>
      <c r="C22" s="40">
        <f>HYPERLINK("[N Only Old retention.xlsx]'Coastal N Reductions'!BD85", 122.811999999952)</f>
        <v>122.81199999995199</v>
      </c>
      <c r="D22" s="40">
        <f>HYPERLINK("[N Only New retention.xlsx]'Coastal N Reductions'!BD85", 166.242)</f>
        <v>166.24199999999999</v>
      </c>
      <c r="E22" s="40">
        <f>HYPERLINK("[N Only with New retention and Differentiation.xlsx]'Coastal N Reductions'!BD85", 117.918)</f>
        <v>117.91800000000001</v>
      </c>
      <c r="F22" s="41">
        <f>D22-C22</f>
        <v>43.430000000047997</v>
      </c>
      <c r="G22" s="42">
        <f>E22-C22</f>
        <v>-4.893999999951987</v>
      </c>
      <c r="H22" s="40">
        <f>HYPERLINK("[N Only Old retention.xlsx]'Coastal N Reductions'!AV85", 872.647999999896)</f>
        <v>872.647999999896</v>
      </c>
      <c r="I22" s="40">
        <f>HYPERLINK("[N Only New retention.xlsx]'Coastal N Reductions'!AV85", 757.016)</f>
        <v>757.01599999999996</v>
      </c>
      <c r="J22" s="40">
        <f>HYPERLINK("[N Only with New retention and Differentiation.xlsx]'Coastal N Reductions'!AV85", 756.112)</f>
        <v>756.11199999999997</v>
      </c>
      <c r="K22" s="42">
        <f>I22-H22</f>
        <v>-115.63199999989604</v>
      </c>
      <c r="L22" s="42">
        <f>J22-H22</f>
        <v>-116.53599999989603</v>
      </c>
      <c r="M22" s="40">
        <f>HYPERLINK("[N Only Old retention.xlsx]'Coastal N Reductions'!AX85", 5077.92799999958)</f>
        <v>5077.9279999995797</v>
      </c>
      <c r="N22" s="40">
        <f>HYPERLINK("[N Only New retention.xlsx]'Coastal N Reductions'!AX85", 5864.59799999991)</f>
        <v>5864.5979999999099</v>
      </c>
      <c r="O22" s="40">
        <f>HYPERLINK("[N Only with New retention and Differentiation.xlsx]'Coastal N Reductions'!AX85", 5856.57799999968)</f>
        <v>5856.5779999996803</v>
      </c>
      <c r="P22" s="41">
        <f>N22-M22</f>
        <v>786.67000000033022</v>
      </c>
      <c r="Q22" s="41">
        <f>O22-M22</f>
        <v>778.65000000010059</v>
      </c>
      <c r="R22" s="40">
        <f>HYPERLINK("[N Only Old retention.xlsx]'Coastal N Reductions'!BF85", 24.9)</f>
        <v>24.9</v>
      </c>
      <c r="S22" s="40">
        <f>HYPERLINK("[N Only New retention.xlsx]'Coastal N Reductions'!BF85", 31.4)</f>
        <v>31.4</v>
      </c>
      <c r="T22" s="40">
        <f>HYPERLINK("[N Only with New retention and Differentiation.xlsx]'Coastal N Reductions'!BF85", 79.724)</f>
        <v>79.724000000000004</v>
      </c>
      <c r="U22" s="41">
        <f>S22-R22</f>
        <v>6.5</v>
      </c>
      <c r="V22" s="41">
        <f>T22-R22</f>
        <v>54.824000000000005</v>
      </c>
      <c r="W22" s="40">
        <f>HYPERLINK("[N Only Old retention.xlsx]'Coastal N Reductions'!BI85", 59.552)</f>
        <v>59.552</v>
      </c>
      <c r="X22" s="40">
        <f>HYPERLINK("[N Only New retention.xlsx]'Coastal N Reductions'!BI85", 59.306)</f>
        <v>59.305999999999997</v>
      </c>
      <c r="Y22" s="40">
        <f>HYPERLINK("[N Only with New retention and Differentiation.xlsx]'Coastal N Reductions'!BI85", 59.306)</f>
        <v>59.305999999999997</v>
      </c>
      <c r="Z22" s="42">
        <f>X22-W22</f>
        <v>-0.24600000000000222</v>
      </c>
      <c r="AA22" s="42">
        <f>Y22-W22</f>
        <v>-0.24600000000000222</v>
      </c>
      <c r="AB22" s="26">
        <f>HYPERLINK("[N Only Old retention.xlsx]'Coastal N Reductions'!BS85", 9500)</f>
        <v>9500</v>
      </c>
      <c r="AC22" s="26">
        <f>HYPERLINK("[N Only New retention.xlsx]'Coastal N Reductions'!BS85", 10350)</f>
        <v>10350</v>
      </c>
      <c r="AD22" s="26">
        <f>HYPERLINK("[N Only with New retention and Differentiation.xlsx]'Coastal N Reductions'!BS85", 10350)</f>
        <v>10350</v>
      </c>
      <c r="AE22" s="16">
        <f>AC22-AB22</f>
        <v>850</v>
      </c>
      <c r="AF22" s="16">
        <f>AD22-AB22</f>
        <v>850</v>
      </c>
      <c r="AG22" s="40">
        <f>HYPERLINK("[N Only Old retention.xlsx]'Coastal N Reductions'!BH85", 13.44)</f>
        <v>13.44</v>
      </c>
      <c r="AH22" s="40">
        <f>HYPERLINK("[N Only New retention.xlsx]'Coastal N Reductions'!BH85", 38.11)</f>
        <v>38.11</v>
      </c>
      <c r="AI22" s="40">
        <f>HYPERLINK("[N Only with New retention and Differentiation.xlsx]'Coastal N Reductions'!BH85", 38.092)</f>
        <v>38.091999999999999</v>
      </c>
      <c r="AJ22" s="41">
        <f>AH22-AG22</f>
        <v>24.67</v>
      </c>
      <c r="AK22" s="41">
        <f>AI22-AG22</f>
        <v>24.652000000000001</v>
      </c>
      <c r="AL22" s="40">
        <f>HYPERLINK("[N Only Old retention.xlsx]'Coastal N Reductions'!AZ85", 77.2578)</f>
        <v>77.257800000000003</v>
      </c>
      <c r="AM22" s="40">
        <f>HYPERLINK("[N Only New retention.xlsx]'Coastal N Reductions'!AZ85", 59.8878)</f>
        <v>59.887799999999999</v>
      </c>
      <c r="AN22" s="40">
        <f>HYPERLINK("[N Only with New retention and Differentiation.xlsx]'Coastal N Reductions'!AZ85", 59.8878)</f>
        <v>59.887799999999999</v>
      </c>
      <c r="AO22" s="42">
        <f>AM22-AL22</f>
        <v>-17.370000000000005</v>
      </c>
      <c r="AP22" s="42">
        <f>AN22-AL22</f>
        <v>-17.370000000000005</v>
      </c>
      <c r="AQ22" s="40">
        <f>HYPERLINK("[N Only Old retention.xlsx]'Coastal N Reductions'!BE85", 76.588)</f>
        <v>76.587999999999994</v>
      </c>
      <c r="AR22" s="40">
        <f>HYPERLINK("[N Only New retention.xlsx]'Coastal N Reductions'!BE85", 110.094)</f>
        <v>110.09399999999999</v>
      </c>
      <c r="AS22" s="40">
        <f>HYPERLINK("[N Only with New retention and Differentiation.xlsx]'Coastal N Reductions'!BE85", 110.274)</f>
        <v>110.274</v>
      </c>
      <c r="AT22" s="41">
        <f>AR22-AQ22</f>
        <v>33.506</v>
      </c>
      <c r="AU22" s="41">
        <f>AS22-AQ22</f>
        <v>33.686000000000007</v>
      </c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26">
        <f>HYPERLINK("[N Only New retention.xlsx]'Coastal N Reductions'!BT85", 2)</f>
        <v>2</v>
      </c>
      <c r="BH22" s="26">
        <f>HYPERLINK("[N Only with New retention and Differentiation.xlsx]'Coastal N Reductions'!BT85", 2)</f>
        <v>2</v>
      </c>
      <c r="BI22" s="16">
        <f>BG22-BF22</f>
        <v>2</v>
      </c>
      <c r="BJ22" s="16">
        <f>BH22-BF22</f>
        <v>2</v>
      </c>
    </row>
    <row r="23" spans="1:62" x14ac:dyDescent="0.55000000000000004">
      <c r="A23" s="31">
        <v>46</v>
      </c>
      <c r="B23" s="5" t="s">
        <v>171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</row>
    <row r="24" spans="1:62" x14ac:dyDescent="0.55000000000000004">
      <c r="A24" s="30">
        <v>47</v>
      </c>
      <c r="B24" s="6" t="s">
        <v>172</v>
      </c>
      <c r="C24" s="40">
        <f>HYPERLINK("[N Only Old retention.xlsx]'Coastal N Reductions'!BD87", 340.122)</f>
        <v>340.12200000000001</v>
      </c>
      <c r="D24" s="40">
        <f>HYPERLINK("[N Only New retention.xlsx]'Coastal N Reductions'!BD87", 264.542)</f>
        <v>264.54199999999997</v>
      </c>
      <c r="E24" s="40">
        <f>HYPERLINK("[N Only with New retention and Differentiation.xlsx]'Coastal N Reductions'!BD87", 73.954)</f>
        <v>73.953999999999994</v>
      </c>
      <c r="F24" s="42">
        <f>D24-C24</f>
        <v>-75.580000000000041</v>
      </c>
      <c r="G24" s="42">
        <f>E24-C24</f>
        <v>-266.16800000000001</v>
      </c>
      <c r="H24" s="40">
        <f>HYPERLINK("[N Only Old retention.xlsx]'Coastal N Reductions'!AV87", 559.278)</f>
        <v>559.27800000000002</v>
      </c>
      <c r="I24" s="40">
        <f>HYPERLINK("[N Only New retention.xlsx]'Coastal N Reductions'!AV87", 591.364)</f>
        <v>591.36400000000003</v>
      </c>
      <c r="J24" s="40">
        <f>HYPERLINK("[N Only with New retention and Differentiation.xlsx]'Coastal N Reductions'!AV87", 592.815999999831)</f>
        <v>592.81599999983098</v>
      </c>
      <c r="K24" s="41">
        <f>I24-H24</f>
        <v>32.086000000000013</v>
      </c>
      <c r="L24" s="41">
        <f>J24-H24</f>
        <v>33.537999999830959</v>
      </c>
      <c r="M24" s="40">
        <f>HYPERLINK("[N Only Old retention.xlsx]'Coastal N Reductions'!AX87", 4558.68799999948)</f>
        <v>4558.6879999994799</v>
      </c>
      <c r="N24" s="40">
        <f>HYPERLINK("[N Only New retention.xlsx]'Coastal N Reductions'!AX87", 4154.66)</f>
        <v>4154.66</v>
      </c>
      <c r="O24" s="40">
        <f>HYPERLINK("[N Only with New retention and Differentiation.xlsx]'Coastal N Reductions'!AX87", 4144.31)</f>
        <v>4144.3100000000004</v>
      </c>
      <c r="P24" s="42">
        <f>N24-M24</f>
        <v>-404.02799999948002</v>
      </c>
      <c r="Q24" s="42">
        <f>O24-M24</f>
        <v>-414.37799999947947</v>
      </c>
      <c r="R24" s="40">
        <f>HYPERLINK("[N Only Old retention.xlsx]'Coastal N Reductions'!BF87", 1.12)</f>
        <v>1.1200000000000001</v>
      </c>
      <c r="S24" s="40">
        <f>HYPERLINK("[N Only New retention.xlsx]'Coastal N Reductions'!BF87", 5.47)</f>
        <v>5.47</v>
      </c>
      <c r="T24" s="40">
        <f>HYPERLINK("[N Only with New retention and Differentiation.xlsx]'Coastal N Reductions'!BF87", 204.158)</f>
        <v>204.15799999999999</v>
      </c>
      <c r="U24" s="41">
        <f>S24-R24</f>
        <v>4.3499999999999996</v>
      </c>
      <c r="V24" s="41">
        <f>T24-R24</f>
        <v>203.03799999999998</v>
      </c>
      <c r="W24" s="40">
        <f>HYPERLINK("[N Only Old retention.xlsx]'Coastal N Reductions'!BI87", 20.216)</f>
        <v>20.216000000000001</v>
      </c>
      <c r="X24" s="40">
        <f>HYPERLINK("[N Only New retention.xlsx]'Coastal N Reductions'!BI87", 20.598)</f>
        <v>20.597999999999999</v>
      </c>
      <c r="Y24" s="40">
        <f>HYPERLINK("[N Only with New retention and Differentiation.xlsx]'Coastal N Reductions'!BI87", 20.538)</f>
        <v>20.538</v>
      </c>
      <c r="Z24" s="41">
        <f>X24-W24</f>
        <v>0.3819999999999979</v>
      </c>
      <c r="AA24" s="41">
        <f>Y24-W24</f>
        <v>0.32199999999999918</v>
      </c>
      <c r="AB24" s="26">
        <f>HYPERLINK("[N Only Old retention.xlsx]'Coastal N Reductions'!BS87", 100)</f>
        <v>100</v>
      </c>
      <c r="AC24" s="26">
        <f>HYPERLINK("[N Only New retention.xlsx]'Coastal N Reductions'!BS87", 6200)</f>
        <v>6200</v>
      </c>
      <c r="AD24" s="26">
        <f>HYPERLINK("[N Only with New retention and Differentiation.xlsx]'Coastal N Reductions'!BS87", 6200)</f>
        <v>6200</v>
      </c>
      <c r="AE24" s="16">
        <f>AC24-AB24</f>
        <v>6100</v>
      </c>
      <c r="AF24" s="16">
        <f>AD24-AB24</f>
        <v>6100</v>
      </c>
      <c r="AG24" s="40">
        <f>HYPERLINK("[N Only Old retention.xlsx]'Coastal N Reductions'!BH87", 2.21)</f>
        <v>2.21</v>
      </c>
      <c r="AH24" s="40">
        <f>HYPERLINK("[N Only New retention.xlsx]'Coastal N Reductions'!BH87", 3.52)</f>
        <v>3.52</v>
      </c>
      <c r="AI24" s="40">
        <f>HYPERLINK("[N Only with New retention and Differentiation.xlsx]'Coastal N Reductions'!BH87", 3.52)</f>
        <v>3.52</v>
      </c>
      <c r="AJ24" s="41">
        <f>AH24-AG24</f>
        <v>1.31</v>
      </c>
      <c r="AK24" s="41">
        <f>AI24-AG24</f>
        <v>1.31</v>
      </c>
      <c r="AL24" s="40">
        <f>HYPERLINK("[N Only Old retention.xlsx]'Coastal N Reductions'!AZ87", 74.6376)</f>
        <v>74.637600000000006</v>
      </c>
      <c r="AM24" s="40">
        <f>HYPERLINK("[N Only New retention.xlsx]'Coastal N Reductions'!AZ87", 77.1174)</f>
        <v>77.117400000000004</v>
      </c>
      <c r="AN24" s="40">
        <f>HYPERLINK("[N Only with New retention and Differentiation.xlsx]'Coastal N Reductions'!AZ87", 77.1174)</f>
        <v>77.117400000000004</v>
      </c>
      <c r="AO24" s="41">
        <f>AM24-AL24</f>
        <v>2.4797999999999973</v>
      </c>
      <c r="AP24" s="41">
        <f>AN24-AL24</f>
        <v>2.4797999999999973</v>
      </c>
      <c r="AQ24" s="40">
        <f>HYPERLINK("[N Only Old retention.xlsx]'Coastal N Reductions'!BE87", 11.89)</f>
        <v>11.89</v>
      </c>
      <c r="AR24" s="40">
        <f>HYPERLINK("[N Only New retention.xlsx]'Coastal N Reductions'!BE87", 16.962)</f>
        <v>16.962</v>
      </c>
      <c r="AS24" s="40">
        <f>HYPERLINK("[N Only with New retention and Differentiation.xlsx]'Coastal N Reductions'!BE87", 13.692)</f>
        <v>13.692</v>
      </c>
      <c r="AT24" s="41">
        <f>AR24-AQ24</f>
        <v>5.0719999999999992</v>
      </c>
      <c r="AU24" s="41">
        <f>AS24-AQ24</f>
        <v>1.8019999999999996</v>
      </c>
      <c r="AV24" s="18"/>
      <c r="AW24" s="18"/>
      <c r="AX24" s="40">
        <f>HYPERLINK("[N Only with New retention and Differentiation.xlsx]'Coastal N Reductions'!BC87", 3.76)</f>
        <v>3.76</v>
      </c>
      <c r="AY24" s="18"/>
      <c r="AZ24" s="41">
        <f>AX24-AV24</f>
        <v>3.76</v>
      </c>
      <c r="BA24" s="18"/>
      <c r="BB24" s="18"/>
      <c r="BC24" s="18"/>
      <c r="BD24" s="18"/>
      <c r="BE24" s="18"/>
      <c r="BF24" s="18"/>
      <c r="BG24" s="18"/>
      <c r="BH24" s="18"/>
      <c r="BI24" s="18"/>
      <c r="BJ24" s="18"/>
    </row>
    <row r="25" spans="1:62" x14ac:dyDescent="0.55000000000000004">
      <c r="A25" s="31">
        <v>48</v>
      </c>
      <c r="B25" s="5" t="s">
        <v>173</v>
      </c>
      <c r="C25" s="43">
        <f>HYPERLINK("[N Only Old retention.xlsx]'Coastal N Reductions'!BD88", 128.612)</f>
        <v>128.61199999999999</v>
      </c>
      <c r="D25" s="43">
        <f>HYPERLINK("[N Only New retention.xlsx]'Coastal N Reductions'!BD88", 203.782)</f>
        <v>203.78200000000001</v>
      </c>
      <c r="E25" s="43">
        <f>HYPERLINK("[N Only with New retention and Differentiation.xlsx]'Coastal N Reductions'!BD88", 203.782)</f>
        <v>203.78200000000001</v>
      </c>
      <c r="F25" s="41">
        <f>D25-C25</f>
        <v>75.170000000000016</v>
      </c>
      <c r="G25" s="41">
        <f>E25-C25</f>
        <v>75.170000000000016</v>
      </c>
      <c r="H25" s="43">
        <f>HYPERLINK("[N Only Old retention.xlsx]'Coastal N Reductions'!AV88", 809.594)</f>
        <v>809.59400000000005</v>
      </c>
      <c r="I25" s="43">
        <f>HYPERLINK("[N Only New retention.xlsx]'Coastal N Reductions'!AV88", 805.996)</f>
        <v>805.99599999999998</v>
      </c>
      <c r="J25" s="43">
        <f>HYPERLINK("[N Only with New retention and Differentiation.xlsx]'Coastal N Reductions'!AV88", 805.996)</f>
        <v>805.99599999999998</v>
      </c>
      <c r="K25" s="42">
        <f>I25-H25</f>
        <v>-3.59800000000007</v>
      </c>
      <c r="L25" s="42">
        <f>J25-H25</f>
        <v>-3.59800000000007</v>
      </c>
      <c r="M25" s="43">
        <f>HYPERLINK("[N Only Old retention.xlsx]'Coastal N Reductions'!AX88", 960.729999999947)</f>
        <v>960.72999999994704</v>
      </c>
      <c r="N25" s="43">
        <f>HYPERLINK("[N Only New retention.xlsx]'Coastal N Reductions'!AX88", 1348.994)</f>
        <v>1348.9939999999999</v>
      </c>
      <c r="O25" s="43">
        <f>HYPERLINK("[N Only with New retention and Differentiation.xlsx]'Coastal N Reductions'!AX88", 1348.994)</f>
        <v>1348.9939999999999</v>
      </c>
      <c r="P25" s="41">
        <f>N25-M25</f>
        <v>388.26400000005287</v>
      </c>
      <c r="Q25" s="41">
        <f>O25-M25</f>
        <v>388.26400000005287</v>
      </c>
      <c r="R25" s="13"/>
      <c r="S25" s="13"/>
      <c r="T25" s="13"/>
      <c r="U25" s="13"/>
      <c r="V25" s="13"/>
      <c r="W25" s="43">
        <f>HYPERLINK("[N Only Old retention.xlsx]'Coastal N Reductions'!BI88", 80.33)</f>
        <v>80.33</v>
      </c>
      <c r="X25" s="43">
        <f>HYPERLINK("[N Only New retention.xlsx]'Coastal N Reductions'!BI88", 84.134)</f>
        <v>84.134</v>
      </c>
      <c r="Y25" s="43">
        <f>HYPERLINK("[N Only with New retention and Differentiation.xlsx]'Coastal N Reductions'!BI88", 84.134)</f>
        <v>84.134</v>
      </c>
      <c r="Z25" s="41">
        <f>X25-W25</f>
        <v>3.804000000000002</v>
      </c>
      <c r="AA25" s="41">
        <f>Y25-W25</f>
        <v>3.804000000000002</v>
      </c>
      <c r="AB25" s="13"/>
      <c r="AC25" s="13"/>
      <c r="AD25" s="13"/>
      <c r="AE25" s="13"/>
      <c r="AF25" s="13"/>
      <c r="AG25" s="43">
        <f>HYPERLINK("[N Only Old retention.xlsx]'Coastal N Reductions'!BH88", 7.22800000000001)</f>
        <v>7.2280000000000104</v>
      </c>
      <c r="AH25" s="43">
        <f>HYPERLINK("[N Only New retention.xlsx]'Coastal N Reductions'!BH88", 17.466)</f>
        <v>17.466000000000001</v>
      </c>
      <c r="AI25" s="43">
        <f>HYPERLINK("[N Only with New retention and Differentiation.xlsx]'Coastal N Reductions'!BH88", 17.466)</f>
        <v>17.466000000000001</v>
      </c>
      <c r="AJ25" s="41">
        <f>AH25-AG25</f>
        <v>10.237999999999991</v>
      </c>
      <c r="AK25" s="41">
        <f>AI25-AG25</f>
        <v>10.237999999999991</v>
      </c>
      <c r="AL25" s="43">
        <f>HYPERLINK("[N Only Old retention.xlsx]'Coastal N Reductions'!AZ88", 484.8126)</f>
        <v>484.81259999999997</v>
      </c>
      <c r="AM25" s="43">
        <f>HYPERLINK("[N Only New retention.xlsx]'Coastal N Reductions'!AZ88", 430.5108)</f>
        <v>430.51080000000002</v>
      </c>
      <c r="AN25" s="43">
        <f>HYPERLINK("[N Only with New retention and Differentiation.xlsx]'Coastal N Reductions'!AZ88", 430.5108)</f>
        <v>430.51080000000002</v>
      </c>
      <c r="AO25" s="42">
        <f>AM25-AL25</f>
        <v>-54.301799999999957</v>
      </c>
      <c r="AP25" s="42">
        <f>AN25-AL25</f>
        <v>-54.301799999999957</v>
      </c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</row>
    <row r="26" spans="1:62" x14ac:dyDescent="0.55000000000000004">
      <c r="A26" s="30">
        <v>49</v>
      </c>
      <c r="B26" s="6" t="s">
        <v>174</v>
      </c>
      <c r="C26" s="40">
        <f>HYPERLINK("[N Only Old retention.xlsx]'Coastal N Reductions'!BD89", 402.464)</f>
        <v>402.464</v>
      </c>
      <c r="D26" s="40">
        <f>HYPERLINK("[N Only New retention.xlsx]'Coastal N Reductions'!BD89", 401.004)</f>
        <v>401.00400000000002</v>
      </c>
      <c r="E26" s="18"/>
      <c r="F26" s="42">
        <f>D26-C26</f>
        <v>-1.4599999999999795</v>
      </c>
      <c r="G26" s="42">
        <f>E26-C26</f>
        <v>-402.464</v>
      </c>
      <c r="H26" s="40">
        <f>HYPERLINK("[N Only Old retention.xlsx]'Coastal N Reductions'!AV89", 11.532)</f>
        <v>11.532</v>
      </c>
      <c r="I26" s="40">
        <f>HYPERLINK("[N Only New retention.xlsx]'Coastal N Reductions'!AV89", 11.532)</f>
        <v>11.532</v>
      </c>
      <c r="J26" s="40">
        <f>HYPERLINK("[N Only with New retention and Differentiation.xlsx]'Coastal N Reductions'!AV89", 11.284)</f>
        <v>11.284000000000001</v>
      </c>
      <c r="K26" s="18"/>
      <c r="L26" s="42">
        <f>J26-H26</f>
        <v>-0.24799999999999933</v>
      </c>
      <c r="M26" s="40">
        <f>HYPERLINK("[N Only Old retention.xlsx]'Coastal N Reductions'!AX89", 869.426)</f>
        <v>869.42600000000004</v>
      </c>
      <c r="N26" s="40">
        <f>HYPERLINK("[N Only New retention.xlsx]'Coastal N Reductions'!AX89", 869.426)</f>
        <v>869.42600000000004</v>
      </c>
      <c r="O26" s="40">
        <f>HYPERLINK("[N Only with New retention and Differentiation.xlsx]'Coastal N Reductions'!AX89", 802.182)</f>
        <v>802.18200000000002</v>
      </c>
      <c r="P26" s="18"/>
      <c r="Q26" s="42">
        <f>O26-M26</f>
        <v>-67.244000000000028</v>
      </c>
      <c r="R26" s="18"/>
      <c r="S26" s="18"/>
      <c r="T26" s="40">
        <f>HYPERLINK("[N Only with New retention and Differentiation.xlsx]'Coastal N Reductions'!BF89", 468.992)</f>
        <v>468.99200000000002</v>
      </c>
      <c r="U26" s="18"/>
      <c r="V26" s="41">
        <f>T26-R26</f>
        <v>468.99200000000002</v>
      </c>
      <c r="W26" s="40">
        <f>HYPERLINK("[N Only Old retention.xlsx]'Coastal N Reductions'!BI89", 0.65)</f>
        <v>0.65</v>
      </c>
      <c r="X26" s="40">
        <f>HYPERLINK("[N Only New retention.xlsx]'Coastal N Reductions'!BI89", 0.65)</f>
        <v>0.65</v>
      </c>
      <c r="Y26" s="40">
        <f>HYPERLINK("[N Only with New retention and Differentiation.xlsx]'Coastal N Reductions'!BI89", 0.65)</f>
        <v>0.65</v>
      </c>
      <c r="Z26" s="18"/>
      <c r="AA26" s="18"/>
      <c r="AB26" s="26">
        <f>HYPERLINK("[N Only Old retention.xlsx]'Coastal N Reductions'!BS89", 1230)</f>
        <v>1230</v>
      </c>
      <c r="AC26" s="26">
        <f>HYPERLINK("[N Only New retention.xlsx]'Coastal N Reductions'!BS89", 1230)</f>
        <v>1230</v>
      </c>
      <c r="AD26" s="26">
        <f>HYPERLINK("[N Only with New retention and Differentiation.xlsx]'Coastal N Reductions'!BS89", 1230)</f>
        <v>1230</v>
      </c>
      <c r="AE26" s="18"/>
      <c r="AF26" s="18"/>
      <c r="AG26" s="18"/>
      <c r="AH26" s="40">
        <f>HYPERLINK("[N Only New retention.xlsx]'Coastal N Reductions'!BH89", 0.640000000000001)</f>
        <v>0.64000000000000101</v>
      </c>
      <c r="AI26" s="40">
        <f>HYPERLINK("[N Only with New retention and Differentiation.xlsx]'Coastal N Reductions'!BH89", 0.640000000000001)</f>
        <v>0.64000000000000101</v>
      </c>
      <c r="AJ26" s="41">
        <f>AH26-AG26</f>
        <v>0.64000000000000101</v>
      </c>
      <c r="AK26" s="41">
        <f>AI26-AG26</f>
        <v>0.64000000000000101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</row>
    <row r="27" spans="1:62" x14ac:dyDescent="0.55000000000000004">
      <c r="A27" s="31">
        <v>56</v>
      </c>
      <c r="B27" s="5" t="s">
        <v>175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2" x14ac:dyDescent="0.55000000000000004">
      <c r="A28" s="30">
        <v>57</v>
      </c>
      <c r="B28" s="6" t="s">
        <v>176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</row>
    <row r="29" spans="1:62" x14ac:dyDescent="0.55000000000000004">
      <c r="A29" s="31">
        <v>59</v>
      </c>
      <c r="B29" s="5" t="s">
        <v>177</v>
      </c>
      <c r="C29" s="43">
        <f>HYPERLINK("[N Only Old retention.xlsx]'Coastal N Reductions'!BD92", 2139.31051308901)</f>
        <v>2139.3105130890099</v>
      </c>
      <c r="D29" s="43">
        <f>HYPERLINK("[N Only New retention.xlsx]'Coastal N Reductions'!BD92", 1742.002)</f>
        <v>1742.002</v>
      </c>
      <c r="E29" s="43">
        <f>HYPERLINK("[N Only with New retention and Differentiation.xlsx]'Coastal N Reductions'!BD92", 1739.252)</f>
        <v>1739.252</v>
      </c>
      <c r="F29" s="42">
        <f>D29-C29</f>
        <v>-397.30851308900992</v>
      </c>
      <c r="G29" s="42">
        <f>E29-C29</f>
        <v>-400.05851308900992</v>
      </c>
      <c r="H29" s="43">
        <f>HYPERLINK("[N Only Old retention.xlsx]'Coastal N Reductions'!AV92", 211.244)</f>
        <v>211.244</v>
      </c>
      <c r="I29" s="43">
        <f>HYPERLINK("[N Only New retention.xlsx]'Coastal N Reductions'!AV92", 241.958)</f>
        <v>241.958</v>
      </c>
      <c r="J29" s="43">
        <f>HYPERLINK("[N Only with New retention and Differentiation.xlsx]'Coastal N Reductions'!AV92", 240.8)</f>
        <v>240.8</v>
      </c>
      <c r="K29" s="41">
        <f>I29-H29</f>
        <v>30.713999999999999</v>
      </c>
      <c r="L29" s="41">
        <f>J29-H29</f>
        <v>29.556000000000012</v>
      </c>
      <c r="M29" s="43">
        <f>HYPERLINK("[N Only Old retention.xlsx]'Coastal N Reductions'!AX92", 38.14199999987)</f>
        <v>38.141999999870002</v>
      </c>
      <c r="N29" s="43">
        <f>HYPERLINK("[N Only New retention.xlsx]'Coastal N Reductions'!AX92", 11.852)</f>
        <v>11.852</v>
      </c>
      <c r="O29" s="43">
        <f>HYPERLINK("[N Only with New retention and Differentiation.xlsx]'Coastal N Reductions'!AX92", 11.852)</f>
        <v>11.852</v>
      </c>
      <c r="P29" s="42">
        <f>N29-M29</f>
        <v>-26.289999999870002</v>
      </c>
      <c r="Q29" s="42">
        <f>O29-M29</f>
        <v>-26.289999999870002</v>
      </c>
      <c r="R29" s="43">
        <f>HYPERLINK("[N Only Old retention.xlsx]'Coastal N Reductions'!BF92", 28.53)</f>
        <v>28.53</v>
      </c>
      <c r="S29" s="43">
        <f>HYPERLINK("[N Only New retention.xlsx]'Coastal N Reductions'!BF92", 8.1)</f>
        <v>8.1</v>
      </c>
      <c r="T29" s="43">
        <f>HYPERLINK("[N Only with New retention and Differentiation.xlsx]'Coastal N Reductions'!BF92", 10.85)</f>
        <v>10.85</v>
      </c>
      <c r="U29" s="42">
        <f>S29-R29</f>
        <v>-20.43</v>
      </c>
      <c r="V29" s="42">
        <f>T29-R29</f>
        <v>-17.68</v>
      </c>
      <c r="W29" s="43">
        <f>HYPERLINK("[N Only Old retention.xlsx]'Coastal N Reductions'!BI92", 273.364)</f>
        <v>273.36399999999998</v>
      </c>
      <c r="X29" s="43">
        <f>HYPERLINK("[N Only New retention.xlsx]'Coastal N Reductions'!BI92", 266.526)</f>
        <v>266.52600000000001</v>
      </c>
      <c r="Y29" s="43">
        <f>HYPERLINK("[N Only with New retention and Differentiation.xlsx]'Coastal N Reductions'!BI92", 266.526)</f>
        <v>266.52600000000001</v>
      </c>
      <c r="Z29" s="42">
        <f>X29-W29</f>
        <v>-6.8379999999999654</v>
      </c>
      <c r="AA29" s="42">
        <f>Y29-W29</f>
        <v>-6.8379999999999654</v>
      </c>
      <c r="AB29" s="13"/>
      <c r="AC29" s="13"/>
      <c r="AD29" s="13"/>
      <c r="AE29" s="13"/>
      <c r="AF29" s="13"/>
      <c r="AG29" s="43">
        <f>HYPERLINK("[N Only Old retention.xlsx]'Coastal N Reductions'!BH92", 66.442)</f>
        <v>66.441999999999993</v>
      </c>
      <c r="AH29" s="43">
        <f>HYPERLINK("[N Only New retention.xlsx]'Coastal N Reductions'!BH92", 58.346335078534)</f>
        <v>58.346335078533997</v>
      </c>
      <c r="AI29" s="43">
        <f>HYPERLINK("[N Only with New retention and Differentiation.xlsx]'Coastal N Reductions'!BH92", 59.946335078534)</f>
        <v>59.946335078533998</v>
      </c>
      <c r="AJ29" s="42">
        <f>AH29-AG29</f>
        <v>-8.0956649214659961</v>
      </c>
      <c r="AK29" s="42">
        <f>AI29-AG29</f>
        <v>-6.4956649214659947</v>
      </c>
      <c r="AL29" s="43">
        <f>HYPERLINK("[N Only Old retention.xlsx]'Coastal N Reductions'!AZ92", 163.584)</f>
        <v>163.584</v>
      </c>
      <c r="AM29" s="43">
        <f>HYPERLINK("[N Only New retention.xlsx]'Coastal N Reductions'!AZ92", 253.3542)</f>
        <v>253.35419999999999</v>
      </c>
      <c r="AN29" s="43">
        <f>HYPERLINK("[N Only with New retention and Differentiation.xlsx]'Coastal N Reductions'!AZ92", 253.3542)</f>
        <v>253.35419999999999</v>
      </c>
      <c r="AO29" s="41">
        <f>AM29-AL29</f>
        <v>89.770199999999988</v>
      </c>
      <c r="AP29" s="41">
        <f>AN29-AL29</f>
        <v>89.770199999999988</v>
      </c>
      <c r="AQ29" s="43">
        <f>HYPERLINK("[N Only Old retention.xlsx]'Coastal N Reductions'!BE92", 10.786)</f>
        <v>10.786</v>
      </c>
      <c r="AR29" s="43">
        <f>HYPERLINK("[N Only New retention.xlsx]'Coastal N Reductions'!BE92", 1.316)</f>
        <v>1.3160000000000001</v>
      </c>
      <c r="AS29" s="43">
        <f>HYPERLINK("[N Only with New retention and Differentiation.xlsx]'Coastal N Reductions'!BE92", 2.016)</f>
        <v>2.016</v>
      </c>
      <c r="AT29" s="42">
        <f>AR29-AQ29</f>
        <v>-9.4699999999999989</v>
      </c>
      <c r="AU29" s="42">
        <f>AS29-AQ29</f>
        <v>-8.77</v>
      </c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</row>
    <row r="30" spans="1:62" x14ac:dyDescent="0.55000000000000004">
      <c r="A30" s="30">
        <v>62</v>
      </c>
      <c r="B30" s="6" t="s">
        <v>178</v>
      </c>
      <c r="C30" s="40">
        <f>HYPERLINK("[N Only Old retention.xlsx]'Coastal N Reductions'!BD94", 82.154)</f>
        <v>82.153999999999996</v>
      </c>
      <c r="D30" s="40">
        <f>HYPERLINK("[N Only New retention.xlsx]'Coastal N Reductions'!BD94", 46.754)</f>
        <v>46.753999999999998</v>
      </c>
      <c r="E30" s="40">
        <f>HYPERLINK("[N Only with New retention and Differentiation.xlsx]'Coastal N Reductions'!BD94", 46.754)</f>
        <v>46.753999999999998</v>
      </c>
      <c r="F30" s="42">
        <f>D30-C30</f>
        <v>-35.4</v>
      </c>
      <c r="G30" s="42">
        <f>E30-C30</f>
        <v>-35.4</v>
      </c>
      <c r="H30" s="40">
        <f>HYPERLINK("[N Only Old retention.xlsx]'Coastal N Reductions'!AV94", 24.55)</f>
        <v>24.55</v>
      </c>
      <c r="I30" s="40">
        <f>HYPERLINK("[N Only New retention.xlsx]'Coastal N Reductions'!AV94", 24.55)</f>
        <v>24.55</v>
      </c>
      <c r="J30" s="40">
        <f>HYPERLINK("[N Only with New retention and Differentiation.xlsx]'Coastal N Reductions'!AV94", 24.55)</f>
        <v>24.55</v>
      </c>
      <c r="K30" s="18"/>
      <c r="L30" s="18"/>
      <c r="M30" s="40">
        <f>HYPERLINK("[N Only Old retention.xlsx]'Coastal N Reductions'!AX94", 17.686)</f>
        <v>17.686</v>
      </c>
      <c r="N30" s="40">
        <f>HYPERLINK("[N Only New retention.xlsx]'Coastal N Reductions'!AX94", 17.386)</f>
        <v>17.385999999999999</v>
      </c>
      <c r="O30" s="40">
        <f>HYPERLINK("[N Only with New retention and Differentiation.xlsx]'Coastal N Reductions'!AX94", 17.386)</f>
        <v>17.385999999999999</v>
      </c>
      <c r="P30" s="42">
        <f>N30-M30</f>
        <v>-0.30000000000000071</v>
      </c>
      <c r="Q30" s="42">
        <f>O30-M30</f>
        <v>-0.30000000000000071</v>
      </c>
      <c r="R30" s="18"/>
      <c r="S30" s="18"/>
      <c r="T30" s="18"/>
      <c r="U30" s="18"/>
      <c r="V30" s="18"/>
      <c r="W30" s="40">
        <f>HYPERLINK("[N Only Old retention.xlsx]'Coastal N Reductions'!BI94", 0.01)</f>
        <v>0.01</v>
      </c>
      <c r="X30" s="18"/>
      <c r="Y30" s="18"/>
      <c r="Z30" s="42">
        <f>X30-W30</f>
        <v>-0.01</v>
      </c>
      <c r="AA30" s="42">
        <f>Y30-W30</f>
        <v>-0.01</v>
      </c>
      <c r="AB30" s="18"/>
      <c r="AC30" s="18"/>
      <c r="AD30" s="18"/>
      <c r="AE30" s="18"/>
      <c r="AF30" s="18"/>
      <c r="AG30" s="40">
        <f>HYPERLINK("[N Only Old retention.xlsx]'Coastal N Reductions'!BH94", 21.35)</f>
        <v>21.35</v>
      </c>
      <c r="AH30" s="40">
        <f>HYPERLINK("[N Only New retention.xlsx]'Coastal N Reductions'!BH94", 20.65)</f>
        <v>20.65</v>
      </c>
      <c r="AI30" s="40">
        <f>HYPERLINK("[N Only with New retention and Differentiation.xlsx]'Coastal N Reductions'!BH94", 20.65)</f>
        <v>20.65</v>
      </c>
      <c r="AJ30" s="42">
        <f>AH30-AG30</f>
        <v>-0.70000000000000284</v>
      </c>
      <c r="AK30" s="42">
        <f>AI30-AG30</f>
        <v>-0.70000000000000284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</row>
    <row r="31" spans="1:62" x14ac:dyDescent="0.55000000000000004">
      <c r="A31" s="31">
        <v>68</v>
      </c>
      <c r="B31" s="5" t="s">
        <v>179</v>
      </c>
      <c r="C31" s="43">
        <f>HYPERLINK("[N Only Old retention.xlsx]'Coastal N Reductions'!BD95", 157.67)</f>
        <v>157.66999999999999</v>
      </c>
      <c r="D31" s="43">
        <f>HYPERLINK("[N Only New retention.xlsx]'Coastal N Reductions'!BD95", 196.95)</f>
        <v>196.95</v>
      </c>
      <c r="E31" s="43">
        <f>HYPERLINK("[N Only with New retention and Differentiation.xlsx]'Coastal N Reductions'!BD95", 196.95)</f>
        <v>196.95</v>
      </c>
      <c r="F31" s="41">
        <f>D31-C31</f>
        <v>39.28</v>
      </c>
      <c r="G31" s="41">
        <f>E31-C31</f>
        <v>39.28</v>
      </c>
      <c r="H31" s="43">
        <f>HYPERLINK("[N Only Old retention.xlsx]'Coastal N Reductions'!AV95", 169.586)</f>
        <v>169.58600000000001</v>
      </c>
      <c r="I31" s="43">
        <f>HYPERLINK("[N Only New retention.xlsx]'Coastal N Reductions'!AV95", 169.222)</f>
        <v>169.22200000000001</v>
      </c>
      <c r="J31" s="43">
        <f>HYPERLINK("[N Only with New retention and Differentiation.xlsx]'Coastal N Reductions'!AV95", 173.514)</f>
        <v>173.51400000000001</v>
      </c>
      <c r="K31" s="42">
        <f>I31-H31</f>
        <v>-0.36400000000000432</v>
      </c>
      <c r="L31" s="41">
        <f>J31-H31</f>
        <v>3.9279999999999973</v>
      </c>
      <c r="M31" s="43">
        <f>HYPERLINK("[N Only Old retention.xlsx]'Coastal N Reductions'!AX95", 304.268)</f>
        <v>304.26799999999997</v>
      </c>
      <c r="N31" s="43">
        <f>HYPERLINK("[N Only New retention.xlsx]'Coastal N Reductions'!AX95", 469.747999999931)</f>
        <v>469.74799999993098</v>
      </c>
      <c r="O31" s="43">
        <f>HYPERLINK("[N Only with New retention and Differentiation.xlsx]'Coastal N Reductions'!AX95", 468.038)</f>
        <v>468.03800000000001</v>
      </c>
      <c r="P31" s="41">
        <f>N31-M31</f>
        <v>165.47999999993101</v>
      </c>
      <c r="Q31" s="41">
        <f>O31-M31</f>
        <v>163.77000000000004</v>
      </c>
      <c r="R31" s="13"/>
      <c r="S31" s="13"/>
      <c r="T31" s="13"/>
      <c r="U31" s="13"/>
      <c r="V31" s="13"/>
      <c r="W31" s="43">
        <f>HYPERLINK("[N Only Old retention.xlsx]'Coastal N Reductions'!BI95", 19.15)</f>
        <v>19.149999999999999</v>
      </c>
      <c r="X31" s="43">
        <f>HYPERLINK("[N Only New retention.xlsx]'Coastal N Reductions'!BI95", 18.41)</f>
        <v>18.41</v>
      </c>
      <c r="Y31" s="43">
        <f>HYPERLINK("[N Only with New retention and Differentiation.xlsx]'Coastal N Reductions'!BI95", 18.41)</f>
        <v>18.41</v>
      </c>
      <c r="Z31" s="42">
        <f>X31-W31</f>
        <v>-0.73999999999999844</v>
      </c>
      <c r="AA31" s="42">
        <f>Y31-W31</f>
        <v>-0.73999999999999844</v>
      </c>
      <c r="AB31" s="28">
        <f>HYPERLINK("[N Only Old retention.xlsx]'Coastal N Reductions'!BS95", 1299.9999930025)</f>
        <v>1299.9999930025001</v>
      </c>
      <c r="AC31" s="13"/>
      <c r="AD31" s="13"/>
      <c r="AE31" s="21">
        <f>AC31-AB31</f>
        <v>-1299.9999930025001</v>
      </c>
      <c r="AF31" s="21">
        <f>AD31-AB31</f>
        <v>-1299.9999930025001</v>
      </c>
      <c r="AG31" s="43">
        <f>HYPERLINK("[N Only Old retention.xlsx]'Coastal N Reductions'!BH95", 9.966)</f>
        <v>9.9659999999999993</v>
      </c>
      <c r="AH31" s="43">
        <f>HYPERLINK("[N Only New retention.xlsx]'Coastal N Reductions'!BH95", 4.516)</f>
        <v>4.516</v>
      </c>
      <c r="AI31" s="43">
        <f>HYPERLINK("[N Only with New retention and Differentiation.xlsx]'Coastal N Reductions'!BH95", 4.516)</f>
        <v>4.516</v>
      </c>
      <c r="AJ31" s="42">
        <f>AH31-AG31</f>
        <v>-5.4499999999999993</v>
      </c>
      <c r="AK31" s="42">
        <f>AI31-AG31</f>
        <v>-5.4499999999999993</v>
      </c>
      <c r="AL31" s="43">
        <f>HYPERLINK("[N Only Old retention.xlsx]'Coastal N Reductions'!AZ95", 132.8682)</f>
        <v>132.8682</v>
      </c>
      <c r="AM31" s="43">
        <f>HYPERLINK("[N Only New retention.xlsx]'Coastal N Reductions'!AZ95", 108.4236)</f>
        <v>108.42359999999999</v>
      </c>
      <c r="AN31" s="43">
        <f>HYPERLINK("[N Only with New retention and Differentiation.xlsx]'Coastal N Reductions'!AZ95", 108.9366)</f>
        <v>108.9366</v>
      </c>
      <c r="AO31" s="42">
        <f>AM31-AL31</f>
        <v>-24.444600000000008</v>
      </c>
      <c r="AP31" s="42">
        <f>AN31-AL31</f>
        <v>-23.931600000000003</v>
      </c>
      <c r="AQ31" s="43">
        <f>HYPERLINK("[N Only Old retention.xlsx]'Coastal N Reductions'!BE95", 2.472)</f>
        <v>2.472</v>
      </c>
      <c r="AR31" s="43">
        <f>HYPERLINK("[N Only New retention.xlsx]'Coastal N Reductions'!BE95", 2.082)</f>
        <v>2.0819999999999999</v>
      </c>
      <c r="AS31" s="43">
        <f>HYPERLINK("[N Only with New retention and Differentiation.xlsx]'Coastal N Reductions'!BE95", 2.082)</f>
        <v>2.0819999999999999</v>
      </c>
      <c r="AT31" s="42">
        <f>AR31-AQ31</f>
        <v>-0.39000000000000012</v>
      </c>
      <c r="AU31" s="42">
        <f>AS31-AQ31</f>
        <v>-0.39000000000000012</v>
      </c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</row>
    <row r="32" spans="1:62" x14ac:dyDescent="0.55000000000000004">
      <c r="A32" s="30">
        <v>72</v>
      </c>
      <c r="B32" s="6" t="s">
        <v>180</v>
      </c>
      <c r="C32" s="40">
        <f>HYPERLINK("[N Only Old retention.xlsx]'Coastal N Reductions'!BD96", 250.328)</f>
        <v>250.328</v>
      </c>
      <c r="D32" s="40">
        <f>HYPERLINK("[N Only New retention.xlsx]'Coastal N Reductions'!BD96", 234.908)</f>
        <v>234.90799999999999</v>
      </c>
      <c r="E32" s="40">
        <f>HYPERLINK("[N Only with New retention and Differentiation.xlsx]'Coastal N Reductions'!BD96", 234.908)</f>
        <v>234.90799999999999</v>
      </c>
      <c r="F32" s="42">
        <f>D32-C32</f>
        <v>-15.420000000000016</v>
      </c>
      <c r="G32" s="42">
        <f>E32-C32</f>
        <v>-15.420000000000016</v>
      </c>
      <c r="H32" s="40">
        <f>HYPERLINK("[N Only Old retention.xlsx]'Coastal N Reductions'!AV96", 53.58)</f>
        <v>53.58</v>
      </c>
      <c r="I32" s="40">
        <f>HYPERLINK("[N Only New retention.xlsx]'Coastal N Reductions'!AV96", 48.832)</f>
        <v>48.832000000000001</v>
      </c>
      <c r="J32" s="40">
        <f>HYPERLINK("[N Only with New retention and Differentiation.xlsx]'Coastal N Reductions'!AV96", 48.832)</f>
        <v>48.832000000000001</v>
      </c>
      <c r="K32" s="42">
        <f>I32-H32</f>
        <v>-4.7479999999999976</v>
      </c>
      <c r="L32" s="42">
        <f>J32-H32</f>
        <v>-4.7479999999999976</v>
      </c>
      <c r="M32" s="40">
        <f>HYPERLINK("[N Only Old retention.xlsx]'Coastal N Reductions'!AX96", 612.386)</f>
        <v>612.38599999999997</v>
      </c>
      <c r="N32" s="40">
        <f>HYPERLINK("[N Only New retention.xlsx]'Coastal N Reductions'!AX96", 535.956)</f>
        <v>535.95600000000002</v>
      </c>
      <c r="O32" s="40">
        <f>HYPERLINK("[N Only with New retention and Differentiation.xlsx]'Coastal N Reductions'!AX96", 530.066)</f>
        <v>530.06600000000003</v>
      </c>
      <c r="P32" s="42">
        <f>N32-M32</f>
        <v>-76.42999999999995</v>
      </c>
      <c r="Q32" s="42">
        <f>O32-M32</f>
        <v>-82.319999999999936</v>
      </c>
      <c r="R32" s="40">
        <f>HYPERLINK("[N Only Old retention.xlsx]'Coastal N Reductions'!BF96", 0.599999999999999)</f>
        <v>0.59999999999999898</v>
      </c>
      <c r="S32" s="40">
        <f>HYPERLINK("[N Only New retention.xlsx]'Coastal N Reductions'!BF96", 0.599999999999999)</f>
        <v>0.59999999999999898</v>
      </c>
      <c r="T32" s="40">
        <f>HYPERLINK("[N Only with New retention and Differentiation.xlsx]'Coastal N Reductions'!BF96", 0.599999999999999)</f>
        <v>0.59999999999999898</v>
      </c>
      <c r="U32" s="18"/>
      <c r="V32" s="18"/>
      <c r="W32" s="18"/>
      <c r="X32" s="18"/>
      <c r="Y32" s="18"/>
      <c r="Z32" s="18"/>
      <c r="AA32" s="18"/>
      <c r="AB32" s="26">
        <f>HYPERLINK("[N Only Old retention.xlsx]'Coastal N Reductions'!BS96", 300)</f>
        <v>300</v>
      </c>
      <c r="AC32" s="26">
        <f>HYPERLINK("[N Only New retention.xlsx]'Coastal N Reductions'!BS96", 1000)</f>
        <v>1000</v>
      </c>
      <c r="AD32" s="26">
        <f>HYPERLINK("[N Only with New retention and Differentiation.xlsx]'Coastal N Reductions'!BS96", 1020)</f>
        <v>1020</v>
      </c>
      <c r="AE32" s="16">
        <f>AC32-AB32</f>
        <v>700</v>
      </c>
      <c r="AF32" s="16">
        <f>AD32-AB32</f>
        <v>720</v>
      </c>
      <c r="AG32" s="40">
        <f>HYPERLINK("[N Only Old retention.xlsx]'Coastal N Reductions'!BH96", 19.64)</f>
        <v>19.64</v>
      </c>
      <c r="AH32" s="40">
        <f>HYPERLINK("[N Only New retention.xlsx]'Coastal N Reductions'!BH96", 31.8)</f>
        <v>31.8</v>
      </c>
      <c r="AI32" s="40">
        <f>HYPERLINK("[N Only with New retention and Differentiation.xlsx]'Coastal N Reductions'!BH96", 31.8)</f>
        <v>31.8</v>
      </c>
      <c r="AJ32" s="41">
        <f>AH32-AG32</f>
        <v>12.16</v>
      </c>
      <c r="AK32" s="41">
        <f>AI32-AG32</f>
        <v>12.16</v>
      </c>
      <c r="AL32" s="40">
        <f>HYPERLINK("[N Only Old retention.xlsx]'Coastal N Reductions'!AZ96", 42.8706)</f>
        <v>42.870600000000003</v>
      </c>
      <c r="AM32" s="40">
        <f>HYPERLINK("[N Only New retention.xlsx]'Coastal N Reductions'!AZ96", 44.2434)</f>
        <v>44.243400000000001</v>
      </c>
      <c r="AN32" s="40">
        <f>HYPERLINK("[N Only with New retention and Differentiation.xlsx]'Coastal N Reductions'!AZ96", 44.1042)</f>
        <v>44.104199999999999</v>
      </c>
      <c r="AO32" s="41">
        <f>AM32-AL32</f>
        <v>1.372799999999998</v>
      </c>
      <c r="AP32" s="41">
        <f>AN32-AL32</f>
        <v>1.2335999999999956</v>
      </c>
      <c r="AQ32" s="40">
        <f>HYPERLINK("[N Only Old retention.xlsx]'Coastal N Reductions'!BE96", 14.62)</f>
        <v>14.62</v>
      </c>
      <c r="AR32" s="40">
        <f>HYPERLINK("[N Only New retention.xlsx]'Coastal N Reductions'!BE96", 15.86)</f>
        <v>15.86</v>
      </c>
      <c r="AS32" s="40">
        <f>HYPERLINK("[N Only with New retention and Differentiation.xlsx]'Coastal N Reductions'!BE96", 15.86)</f>
        <v>15.86</v>
      </c>
      <c r="AT32" s="41">
        <f>AR32-AQ32</f>
        <v>1.2400000000000002</v>
      </c>
      <c r="AU32" s="41">
        <f>AS32-AQ32</f>
        <v>1.2400000000000002</v>
      </c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</row>
    <row r="33" spans="1:62" x14ac:dyDescent="0.55000000000000004">
      <c r="A33" s="31">
        <v>74</v>
      </c>
      <c r="B33" s="5" t="s">
        <v>181</v>
      </c>
      <c r="C33" s="43">
        <f>HYPERLINK("[N Only Old retention.xlsx]'Coastal N Reductions'!BD97", 1401.35599999997)</f>
        <v>1401.35599999997</v>
      </c>
      <c r="D33" s="43">
        <f>HYPERLINK("[N Only New retention.xlsx]'Coastal N Reductions'!BD97", 1315.804)</f>
        <v>1315.8040000000001</v>
      </c>
      <c r="E33" s="43">
        <f>HYPERLINK("[N Only with New retention and Differentiation.xlsx]'Coastal N Reductions'!BD97", 1313.398)</f>
        <v>1313.3979999999999</v>
      </c>
      <c r="F33" s="42">
        <f>D33-C33</f>
        <v>-85.551999999969894</v>
      </c>
      <c r="G33" s="42">
        <f>E33-C33</f>
        <v>-87.95799999997007</v>
      </c>
      <c r="H33" s="43">
        <f>HYPERLINK("[N Only Old retention.xlsx]'Coastal N Reductions'!AV97", 399.564)</f>
        <v>399.56400000000002</v>
      </c>
      <c r="I33" s="43">
        <f>HYPERLINK("[N Only New retention.xlsx]'Coastal N Reductions'!AV97", 372.006)</f>
        <v>372.00599999999997</v>
      </c>
      <c r="J33" s="43">
        <f>HYPERLINK("[N Only with New retention and Differentiation.xlsx]'Coastal N Reductions'!AV97", 371.858)</f>
        <v>371.858</v>
      </c>
      <c r="K33" s="42">
        <f>I33-H33</f>
        <v>-27.55800000000005</v>
      </c>
      <c r="L33" s="42">
        <f>J33-H33</f>
        <v>-27.706000000000017</v>
      </c>
      <c r="M33" s="43">
        <f>HYPERLINK("[N Only Old retention.xlsx]'Coastal N Reductions'!AX97", 742.581999999911)</f>
        <v>742.58199999991098</v>
      </c>
      <c r="N33" s="43">
        <f>HYPERLINK("[N Only New retention.xlsx]'Coastal N Reductions'!AX97", 828.53)</f>
        <v>828.53</v>
      </c>
      <c r="O33" s="43">
        <f>HYPERLINK("[N Only with New retention and Differentiation.xlsx]'Coastal N Reductions'!AX97", 823.964)</f>
        <v>823.96400000000006</v>
      </c>
      <c r="P33" s="41">
        <f>N33-M33</f>
        <v>85.948000000088996</v>
      </c>
      <c r="Q33" s="41">
        <f>O33-M33</f>
        <v>81.382000000089079</v>
      </c>
      <c r="R33" s="43">
        <f>HYPERLINK("[N Only Old retention.xlsx]'Coastal N Reductions'!BF97", 39.83)</f>
        <v>39.83</v>
      </c>
      <c r="S33" s="43">
        <f>HYPERLINK("[N Only New retention.xlsx]'Coastal N Reductions'!BF97", 41.18)</f>
        <v>41.18</v>
      </c>
      <c r="T33" s="43">
        <f>HYPERLINK("[N Only with New retention and Differentiation.xlsx]'Coastal N Reductions'!BF97", 42.97)</f>
        <v>42.97</v>
      </c>
      <c r="U33" s="41">
        <f>S33-R33</f>
        <v>1.3500000000000014</v>
      </c>
      <c r="V33" s="41">
        <f>T33-R33</f>
        <v>3.1400000000000006</v>
      </c>
      <c r="W33" s="13"/>
      <c r="X33" s="13"/>
      <c r="Y33" s="13"/>
      <c r="Z33" s="13"/>
      <c r="AA33" s="13"/>
      <c r="AB33" s="13"/>
      <c r="AC33" s="28">
        <f>HYPERLINK("[N Only New retention.xlsx]'Coastal N Reductions'!BS97", 2200)</f>
        <v>2200</v>
      </c>
      <c r="AD33" s="28">
        <f>HYPERLINK("[N Only with New retention and Differentiation.xlsx]'Coastal N Reductions'!BS97", 2200)</f>
        <v>2200</v>
      </c>
      <c r="AE33" s="16">
        <f>AC33-AB33</f>
        <v>2200</v>
      </c>
      <c r="AF33" s="16">
        <f>AD33-AB33</f>
        <v>2200</v>
      </c>
      <c r="AG33" s="43">
        <f>HYPERLINK("[N Only Old retention.xlsx]'Coastal N Reductions'!BH97", 27.95)</f>
        <v>27.95</v>
      </c>
      <c r="AH33" s="43">
        <f>HYPERLINK("[N Only New retention.xlsx]'Coastal N Reductions'!BH97", 57.834)</f>
        <v>57.834000000000003</v>
      </c>
      <c r="AI33" s="43">
        <f>HYPERLINK("[N Only with New retention and Differentiation.xlsx]'Coastal N Reductions'!BH97", 57.834)</f>
        <v>57.834000000000003</v>
      </c>
      <c r="AJ33" s="41">
        <f>AH33-AG33</f>
        <v>29.884000000000004</v>
      </c>
      <c r="AK33" s="41">
        <f>AI33-AG33</f>
        <v>29.884000000000004</v>
      </c>
      <c r="AL33" s="43">
        <f>HYPERLINK("[N Only Old retention.xlsx]'Coastal N Reductions'!AZ97", 206.28)</f>
        <v>206.28</v>
      </c>
      <c r="AM33" s="43">
        <f>HYPERLINK("[N Only New retention.xlsx]'Coastal N Reductions'!AZ97", 169.6572)</f>
        <v>169.65719999999999</v>
      </c>
      <c r="AN33" s="43">
        <f>HYPERLINK("[N Only with New retention and Differentiation.xlsx]'Coastal N Reductions'!AZ97", 169.6572)</f>
        <v>169.65719999999999</v>
      </c>
      <c r="AO33" s="42">
        <f>AM33-AL33</f>
        <v>-36.622800000000012</v>
      </c>
      <c r="AP33" s="42">
        <f>AN33-AL33</f>
        <v>-36.622800000000012</v>
      </c>
      <c r="AQ33" s="43">
        <f>HYPERLINK("[N Only Old retention.xlsx]'Coastal N Reductions'!BE97", 8.508)</f>
        <v>8.5079999999999991</v>
      </c>
      <c r="AR33" s="43">
        <f>HYPERLINK("[N Only New retention.xlsx]'Coastal N Reductions'!BE97", 14.072)</f>
        <v>14.071999999999999</v>
      </c>
      <c r="AS33" s="43">
        <f>HYPERLINK("[N Only with New retention and Differentiation.xlsx]'Coastal N Reductions'!BE97", 14.258)</f>
        <v>14.257999999999999</v>
      </c>
      <c r="AT33" s="41">
        <f>AR33-AQ33</f>
        <v>5.5640000000000001</v>
      </c>
      <c r="AU33" s="41">
        <f>AS33-AQ33</f>
        <v>5.75</v>
      </c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</row>
    <row r="34" spans="1:62" x14ac:dyDescent="0.55000000000000004">
      <c r="A34" s="30">
        <v>80</v>
      </c>
      <c r="B34" s="6" t="s">
        <v>182</v>
      </c>
      <c r="C34" s="40">
        <f>HYPERLINK("[N Only Old retention.xlsx]'Coastal N Reductions'!BD98", 1718.522)</f>
        <v>1718.5219999999999</v>
      </c>
      <c r="D34" s="40">
        <f>HYPERLINK("[N Only New retention.xlsx]'Coastal N Reductions'!BD98", 2241.03199999995)</f>
        <v>2241.0319999999501</v>
      </c>
      <c r="E34" s="40">
        <f>HYPERLINK("[N Only with New retention and Differentiation.xlsx]'Coastal N Reductions'!BD98", 2206.524)</f>
        <v>2206.5239999999999</v>
      </c>
      <c r="F34" s="41">
        <f>D34-C34</f>
        <v>522.5099999999502</v>
      </c>
      <c r="G34" s="41">
        <f>E34-C34</f>
        <v>488.00199999999995</v>
      </c>
      <c r="H34" s="40">
        <f>HYPERLINK("[N Only Old retention.xlsx]'Coastal N Reductions'!AV98", 185.216)</f>
        <v>185.21600000000001</v>
      </c>
      <c r="I34" s="40">
        <f>HYPERLINK("[N Only New retention.xlsx]'Coastal N Reductions'!AV98", 61.788)</f>
        <v>61.787999999999997</v>
      </c>
      <c r="J34" s="40">
        <f>HYPERLINK("[N Only with New retention and Differentiation.xlsx]'Coastal N Reductions'!AV98", 63.084)</f>
        <v>63.084000000000003</v>
      </c>
      <c r="K34" s="42">
        <f>I34-H34</f>
        <v>-123.42800000000001</v>
      </c>
      <c r="L34" s="42">
        <f>J34-H34</f>
        <v>-122.13200000000001</v>
      </c>
      <c r="M34" s="40">
        <f>HYPERLINK("[N Only Old retention.xlsx]'Coastal N Reductions'!AX98", 265.67)</f>
        <v>265.67</v>
      </c>
      <c r="N34" s="40">
        <f>HYPERLINK("[N Only New retention.xlsx]'Coastal N Reductions'!AX98", 307.509999999887)</f>
        <v>307.50999999988699</v>
      </c>
      <c r="O34" s="40">
        <f>HYPERLINK("[N Only with New retention and Differentiation.xlsx]'Coastal N Reductions'!AX98", 307.51)</f>
        <v>307.51</v>
      </c>
      <c r="P34" s="41">
        <f>N34-M34</f>
        <v>41.83999999988697</v>
      </c>
      <c r="Q34" s="41">
        <f>O34-M34</f>
        <v>41.839999999999975</v>
      </c>
      <c r="R34" s="40">
        <f>HYPERLINK("[N Only Old retention.xlsx]'Coastal N Reductions'!BF98", 0.32)</f>
        <v>0.32</v>
      </c>
      <c r="S34" s="40">
        <f>HYPERLINK("[N Only New retention.xlsx]'Coastal N Reductions'!BF98", 4.16)</f>
        <v>4.16</v>
      </c>
      <c r="T34" s="40">
        <f>HYPERLINK("[N Only with New retention and Differentiation.xlsx]'Coastal N Reductions'!BF98", 31.098)</f>
        <v>31.097999999999999</v>
      </c>
      <c r="U34" s="41">
        <f>S34-R34</f>
        <v>3.8400000000000003</v>
      </c>
      <c r="V34" s="41">
        <f>T34-R34</f>
        <v>30.777999999999999</v>
      </c>
      <c r="W34" s="18"/>
      <c r="X34" s="18"/>
      <c r="Y34" s="18"/>
      <c r="Z34" s="18"/>
      <c r="AA34" s="18"/>
      <c r="AB34" s="26">
        <f>HYPERLINK("[N Only Old retention.xlsx]'Coastal N Reductions'!BS98", 3100)</f>
        <v>3100</v>
      </c>
      <c r="AC34" s="26">
        <f>HYPERLINK("[N Only New retention.xlsx]'Coastal N Reductions'!BS98", 3140)</f>
        <v>3140</v>
      </c>
      <c r="AD34" s="26">
        <f>HYPERLINK("[N Only with New retention and Differentiation.xlsx]'Coastal N Reductions'!BS98", 3140)</f>
        <v>3140</v>
      </c>
      <c r="AE34" s="16">
        <f>AC34-AB34</f>
        <v>40</v>
      </c>
      <c r="AF34" s="16">
        <f>AD34-AB34</f>
        <v>40</v>
      </c>
      <c r="AG34" s="40">
        <f>HYPERLINK("[N Only Old retention.xlsx]'Coastal N Reductions'!BH98", 13.66)</f>
        <v>13.66</v>
      </c>
      <c r="AH34" s="40">
        <f>HYPERLINK("[N Only New retention.xlsx]'Coastal N Reductions'!BH98", 13.62)</f>
        <v>13.62</v>
      </c>
      <c r="AI34" s="40">
        <f>HYPERLINK("[N Only with New retention and Differentiation.xlsx]'Coastal N Reductions'!BH98", 13.62)</f>
        <v>13.62</v>
      </c>
      <c r="AJ34" s="42">
        <f>AH34-AG34</f>
        <v>-4.0000000000000924E-2</v>
      </c>
      <c r="AK34" s="42">
        <f>AI34-AG34</f>
        <v>-4.0000000000000924E-2</v>
      </c>
      <c r="AL34" s="40">
        <f>HYPERLINK("[N Only Old retention.xlsx]'Coastal N Reductions'!AZ98", 23.6142)</f>
        <v>23.6142</v>
      </c>
      <c r="AM34" s="40">
        <f>HYPERLINK("[N Only New retention.xlsx]'Coastal N Reductions'!AZ98", 6.2628)</f>
        <v>6.2628000000000004</v>
      </c>
      <c r="AN34" s="40">
        <f>HYPERLINK("[N Only with New retention and Differentiation.xlsx]'Coastal N Reductions'!AZ98", 6.2628)</f>
        <v>6.2628000000000004</v>
      </c>
      <c r="AO34" s="42">
        <f>AM34-AL34</f>
        <v>-17.351399999999998</v>
      </c>
      <c r="AP34" s="42">
        <f>AN34-AL34</f>
        <v>-17.351399999999998</v>
      </c>
      <c r="AQ34" s="40">
        <f>HYPERLINK("[N Only Old retention.xlsx]'Coastal N Reductions'!BE98", 8.28)</f>
        <v>8.2799999999999994</v>
      </c>
      <c r="AR34" s="40">
        <f>HYPERLINK("[N Only New retention.xlsx]'Coastal N Reductions'!BE98", 9.01)</f>
        <v>9.01</v>
      </c>
      <c r="AS34" s="40">
        <f>HYPERLINK("[N Only with New retention and Differentiation.xlsx]'Coastal N Reductions'!BE98", 10.926)</f>
        <v>10.926</v>
      </c>
      <c r="AT34" s="41">
        <f>AR34-AQ34</f>
        <v>0.73000000000000043</v>
      </c>
      <c r="AU34" s="41">
        <f>AS34-AQ34</f>
        <v>2.6460000000000008</v>
      </c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</row>
    <row r="35" spans="1:62" x14ac:dyDescent="0.55000000000000004">
      <c r="A35" s="31">
        <v>82</v>
      </c>
      <c r="B35" s="5" t="s">
        <v>183</v>
      </c>
      <c r="C35" s="43">
        <f>HYPERLINK("[N Only Old retention.xlsx]'Coastal N Reductions'!BD99", 2434.89599999991)</f>
        <v>2434.8959999999101</v>
      </c>
      <c r="D35" s="43">
        <f>HYPERLINK("[N Only New retention.xlsx]'Coastal N Reductions'!BD99", 2500.406)</f>
        <v>2500.4059999999999</v>
      </c>
      <c r="E35" s="43">
        <f>HYPERLINK("[N Only with New retention and Differentiation.xlsx]'Coastal N Reductions'!BD99", 2499.356)</f>
        <v>2499.3560000000002</v>
      </c>
      <c r="F35" s="41">
        <f>D35-C35</f>
        <v>65.510000000089804</v>
      </c>
      <c r="G35" s="41">
        <f>E35-C35</f>
        <v>64.460000000090076</v>
      </c>
      <c r="H35" s="43">
        <f>HYPERLINK("[N Only Old retention.xlsx]'Coastal N Reductions'!AV99", 326.544)</f>
        <v>326.54399999999998</v>
      </c>
      <c r="I35" s="43">
        <f>HYPERLINK("[N Only New retention.xlsx]'Coastal N Reductions'!AV99", 312.572)</f>
        <v>312.572</v>
      </c>
      <c r="J35" s="43">
        <f>HYPERLINK("[N Only with New retention and Differentiation.xlsx]'Coastal N Reductions'!AV99", 312.572)</f>
        <v>312.572</v>
      </c>
      <c r="K35" s="42">
        <f>I35-H35</f>
        <v>-13.97199999999998</v>
      </c>
      <c r="L35" s="42">
        <f>J35-H35</f>
        <v>-13.97199999999998</v>
      </c>
      <c r="M35" s="43">
        <f>HYPERLINK("[N Only Old retention.xlsx]'Coastal N Reductions'!AX99", 566.542)</f>
        <v>566.54200000000003</v>
      </c>
      <c r="N35" s="43">
        <f>HYPERLINK("[N Only New retention.xlsx]'Coastal N Reductions'!AX99", 572.48)</f>
        <v>572.48</v>
      </c>
      <c r="O35" s="43">
        <f>HYPERLINK("[N Only with New retention and Differentiation.xlsx]'Coastal N Reductions'!AX99", 572.48)</f>
        <v>572.48</v>
      </c>
      <c r="P35" s="41">
        <f>N35-M35</f>
        <v>5.9379999999999882</v>
      </c>
      <c r="Q35" s="41">
        <f>O35-M35</f>
        <v>5.9379999999999882</v>
      </c>
      <c r="R35" s="43">
        <f>HYPERLINK("[N Only Old retention.xlsx]'Coastal N Reductions'!BF99", 4.01)</f>
        <v>4.01</v>
      </c>
      <c r="S35" s="43">
        <f>HYPERLINK("[N Only New retention.xlsx]'Coastal N Reductions'!BF99", 2.91)</f>
        <v>2.91</v>
      </c>
      <c r="T35" s="43">
        <f>HYPERLINK("[N Only with New retention and Differentiation.xlsx]'Coastal N Reductions'!BF99", 3.96)</f>
        <v>3.96</v>
      </c>
      <c r="U35" s="42">
        <f>S35-R35</f>
        <v>-1.0999999999999996</v>
      </c>
      <c r="V35" s="42">
        <f>T35-R35</f>
        <v>-4.9999999999999822E-2</v>
      </c>
      <c r="W35" s="13"/>
      <c r="X35" s="13"/>
      <c r="Y35" s="13"/>
      <c r="Z35" s="13"/>
      <c r="AA35" s="13"/>
      <c r="AB35" s="28">
        <f>HYPERLINK("[N Only Old retention.xlsx]'Coastal N Reductions'!BS99", 3300)</f>
        <v>3300</v>
      </c>
      <c r="AC35" s="28">
        <f>HYPERLINK("[N Only New retention.xlsx]'Coastal N Reductions'!BS99", 3300)</f>
        <v>3300</v>
      </c>
      <c r="AD35" s="28">
        <f>HYPERLINK("[N Only with New retention and Differentiation.xlsx]'Coastal N Reductions'!BS99", 3300)</f>
        <v>3300</v>
      </c>
      <c r="AE35" s="13"/>
      <c r="AF35" s="13"/>
      <c r="AG35" s="43">
        <f>HYPERLINK("[N Only Old retention.xlsx]'Coastal N Reductions'!BH99", 23.184)</f>
        <v>23.184000000000001</v>
      </c>
      <c r="AH35" s="43">
        <f>HYPERLINK("[N Only New retention.xlsx]'Coastal N Reductions'!BH99", 24.534)</f>
        <v>24.533999999999999</v>
      </c>
      <c r="AI35" s="43">
        <f>HYPERLINK("[N Only with New retention and Differentiation.xlsx]'Coastal N Reductions'!BH99", 24.094)</f>
        <v>24.094000000000001</v>
      </c>
      <c r="AJ35" s="41">
        <f>AH35-AG35</f>
        <v>1.3499999999999979</v>
      </c>
      <c r="AK35" s="41">
        <f>AI35-AG35</f>
        <v>0.91000000000000014</v>
      </c>
      <c r="AL35" s="43">
        <f>HYPERLINK("[N Only Old retention.xlsx]'Coastal N Reductions'!AZ99", 107.5518)</f>
        <v>107.5518</v>
      </c>
      <c r="AM35" s="43">
        <f>HYPERLINK("[N Only New retention.xlsx]'Coastal N Reductions'!AZ99", 116.598)</f>
        <v>116.598</v>
      </c>
      <c r="AN35" s="43">
        <f>HYPERLINK("[N Only with New retention and Differentiation.xlsx]'Coastal N Reductions'!AZ99", 116.598)</f>
        <v>116.598</v>
      </c>
      <c r="AO35" s="41">
        <f>AM35-AL35</f>
        <v>9.0461999999999989</v>
      </c>
      <c r="AP35" s="41">
        <f>AN35-AL35</f>
        <v>9.0461999999999989</v>
      </c>
      <c r="AQ35" s="43">
        <f>HYPERLINK("[N Only Old retention.xlsx]'Coastal N Reductions'!BE99", 5.096)</f>
        <v>5.0960000000000001</v>
      </c>
      <c r="AR35" s="43">
        <f>HYPERLINK("[N Only New retention.xlsx]'Coastal N Reductions'!BE99", 4.766)</f>
        <v>4.766</v>
      </c>
      <c r="AS35" s="43">
        <f>HYPERLINK("[N Only with New retention and Differentiation.xlsx]'Coastal N Reductions'!BE99", 4.976)</f>
        <v>4.976</v>
      </c>
      <c r="AT35" s="42">
        <f>AR35-AQ35</f>
        <v>-0.33000000000000007</v>
      </c>
      <c r="AU35" s="42">
        <f>AS35-AQ35</f>
        <v>-0.12000000000000011</v>
      </c>
      <c r="AV35" s="13"/>
      <c r="AW35" s="13"/>
      <c r="AX35" s="43">
        <f>HYPERLINK("[N Only with New retention and Differentiation.xlsx]'Coastal N Reductions'!BC99", 1.43)</f>
        <v>1.43</v>
      </c>
      <c r="AY35" s="13"/>
      <c r="AZ35" s="41">
        <f>AX35-AV35</f>
        <v>1.43</v>
      </c>
      <c r="BA35" s="13"/>
      <c r="BB35" s="13"/>
      <c r="BC35" s="13"/>
      <c r="BD35" s="13"/>
      <c r="BE35" s="13"/>
      <c r="BF35" s="13"/>
      <c r="BG35" s="13"/>
      <c r="BH35" s="13"/>
      <c r="BI35" s="13"/>
      <c r="BJ35" s="13"/>
    </row>
    <row r="36" spans="1:62" x14ac:dyDescent="0.55000000000000004">
      <c r="A36" s="30">
        <v>83</v>
      </c>
      <c r="B36" s="6" t="s">
        <v>184</v>
      </c>
      <c r="C36" s="40">
        <f>HYPERLINK("[N Only Old retention.xlsx]'Coastal N Reductions'!BD100", 2624.83199999985)</f>
        <v>2624.8319999998498</v>
      </c>
      <c r="D36" s="40">
        <f>HYPERLINK("[N Only New retention.xlsx]'Coastal N Reductions'!BD100", 2478.594)</f>
        <v>2478.5940000000001</v>
      </c>
      <c r="E36" s="40">
        <f>HYPERLINK("[N Only with New retention and Differentiation.xlsx]'Coastal N Reductions'!BD100", 2480.354)</f>
        <v>2480.3539999999998</v>
      </c>
      <c r="F36" s="42">
        <f>D36-C36</f>
        <v>-146.23799999984976</v>
      </c>
      <c r="G36" s="42">
        <f>E36-C36</f>
        <v>-144.47799999985</v>
      </c>
      <c r="H36" s="40">
        <f>HYPERLINK("[N Only Old retention.xlsx]'Coastal N Reductions'!AV100", 1069.11199999971)</f>
        <v>1069.11199999971</v>
      </c>
      <c r="I36" s="40">
        <f>HYPERLINK("[N Only New retention.xlsx]'Coastal N Reductions'!AV100", 1101.024)</f>
        <v>1101.0239999999999</v>
      </c>
      <c r="J36" s="40">
        <f>HYPERLINK("[N Only with New retention and Differentiation.xlsx]'Coastal N Reductions'!AV100", 1103.546)</f>
        <v>1103.546</v>
      </c>
      <c r="K36" s="41">
        <f>I36-H36</f>
        <v>31.912000000289936</v>
      </c>
      <c r="L36" s="41">
        <f>J36-H36</f>
        <v>34.434000000290098</v>
      </c>
      <c r="M36" s="40">
        <f>HYPERLINK("[N Only Old retention.xlsx]'Coastal N Reductions'!AX100", 1638.576)</f>
        <v>1638.576</v>
      </c>
      <c r="N36" s="40">
        <f>HYPERLINK("[N Only New retention.xlsx]'Coastal N Reductions'!AX100", 1870.77599999988)</f>
        <v>1870.77599999988</v>
      </c>
      <c r="O36" s="40">
        <f>HYPERLINK("[N Only with New retention and Differentiation.xlsx]'Coastal N Reductions'!AX100", 1871.416)</f>
        <v>1871.4159999999999</v>
      </c>
      <c r="P36" s="41">
        <f>N36-M36</f>
        <v>232.19999999987999</v>
      </c>
      <c r="Q36" s="41">
        <f>O36-M36</f>
        <v>232.83999999999992</v>
      </c>
      <c r="R36" s="40">
        <f>HYPERLINK("[N Only Old retention.xlsx]'Coastal N Reductions'!BF100", 355.102)</f>
        <v>355.10199999999998</v>
      </c>
      <c r="S36" s="40">
        <f>HYPERLINK("[N Only New retention.xlsx]'Coastal N Reductions'!BF100", 390.994)</f>
        <v>390.99400000000003</v>
      </c>
      <c r="T36" s="40">
        <f>HYPERLINK("[N Only with New retention and Differentiation.xlsx]'Coastal N Reductions'!BF100", 398.944)</f>
        <v>398.94400000000002</v>
      </c>
      <c r="U36" s="41">
        <f>S36-R36</f>
        <v>35.892000000000053</v>
      </c>
      <c r="V36" s="41">
        <f>T36-R36</f>
        <v>43.842000000000041</v>
      </c>
      <c r="W36" s="40">
        <f>HYPERLINK("[N Only Old retention.xlsx]'Coastal N Reductions'!BI100", 20.838)</f>
        <v>20.838000000000001</v>
      </c>
      <c r="X36" s="40">
        <f>HYPERLINK("[N Only New retention.xlsx]'Coastal N Reductions'!BI100", 20.988)</f>
        <v>20.988</v>
      </c>
      <c r="Y36" s="40">
        <f>HYPERLINK("[N Only with New retention and Differentiation.xlsx]'Coastal N Reductions'!BI100", 20.988)</f>
        <v>20.988</v>
      </c>
      <c r="Z36" s="41">
        <f>X36-W36</f>
        <v>0.14999999999999858</v>
      </c>
      <c r="AA36" s="41">
        <f>Y36-W36</f>
        <v>0.14999999999999858</v>
      </c>
      <c r="AB36" s="26">
        <f>HYPERLINK("[N Only Old retention.xlsx]'Coastal N Reductions'!BS100", 1200)</f>
        <v>1200</v>
      </c>
      <c r="AC36" s="26">
        <f>HYPERLINK("[N Only New retention.xlsx]'Coastal N Reductions'!BS100", 1400)</f>
        <v>1400</v>
      </c>
      <c r="AD36" s="26">
        <f>HYPERLINK("[N Only with New retention and Differentiation.xlsx]'Coastal N Reductions'!BS100", 1200)</f>
        <v>1200</v>
      </c>
      <c r="AE36" s="16">
        <f>AC36-AB36</f>
        <v>200</v>
      </c>
      <c r="AF36" s="18"/>
      <c r="AG36" s="40">
        <f>HYPERLINK("[N Only Old retention.xlsx]'Coastal N Reductions'!BH100", 44.77)</f>
        <v>44.77</v>
      </c>
      <c r="AH36" s="40">
        <f>HYPERLINK("[N Only New retention.xlsx]'Coastal N Reductions'!BH100", 50.698)</f>
        <v>50.698</v>
      </c>
      <c r="AI36" s="40">
        <f>HYPERLINK("[N Only with New retention and Differentiation.xlsx]'Coastal N Reductions'!BH100", 51.298)</f>
        <v>51.298000000000002</v>
      </c>
      <c r="AJ36" s="41">
        <f>AH36-AG36</f>
        <v>5.9279999999999973</v>
      </c>
      <c r="AK36" s="41">
        <f>AI36-AG36</f>
        <v>6.5279999999999987</v>
      </c>
      <c r="AL36" s="40">
        <f>HYPERLINK("[N Only Old retention.xlsx]'Coastal N Reductions'!AZ100", 379.425)</f>
        <v>379.42500000000001</v>
      </c>
      <c r="AM36" s="40">
        <f>HYPERLINK("[N Only New retention.xlsx]'Coastal N Reductions'!AZ100", 332.8596)</f>
        <v>332.8596</v>
      </c>
      <c r="AN36" s="40">
        <f>HYPERLINK("[N Only with New retention and Differentiation.xlsx]'Coastal N Reductions'!AZ100", 330.4806)</f>
        <v>330.48059999999998</v>
      </c>
      <c r="AO36" s="42">
        <f>AM36-AL36</f>
        <v>-46.565400000000011</v>
      </c>
      <c r="AP36" s="42">
        <f>AN36-AL36</f>
        <v>-48.94440000000003</v>
      </c>
      <c r="AQ36" s="40">
        <f>HYPERLINK("[N Only Old retention.xlsx]'Coastal N Reductions'!BE100", 2.176)</f>
        <v>2.1760000000000002</v>
      </c>
      <c r="AR36" s="40">
        <f>HYPERLINK("[N Only New retention.xlsx]'Coastal N Reductions'!BE100", 1.118)</f>
        <v>1.1180000000000001</v>
      </c>
      <c r="AS36" s="40">
        <f>HYPERLINK("[N Only with New retention and Differentiation.xlsx]'Coastal N Reductions'!BE100", 3.968)</f>
        <v>3.968</v>
      </c>
      <c r="AT36" s="42">
        <f>AR36-AQ36</f>
        <v>-1.0580000000000001</v>
      </c>
      <c r="AU36" s="41">
        <f>AS36-AQ36</f>
        <v>1.7919999999999998</v>
      </c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</row>
    <row r="37" spans="1:62" x14ac:dyDescent="0.55000000000000004">
      <c r="A37" s="31">
        <v>84</v>
      </c>
      <c r="B37" s="5" t="s">
        <v>185</v>
      </c>
      <c r="C37" s="13"/>
      <c r="D37" s="43">
        <f>HYPERLINK("[N Only New retention.xlsx]'Coastal N Reductions'!BD101", 15.04)</f>
        <v>15.04</v>
      </c>
      <c r="E37" s="43">
        <f>HYPERLINK("[N Only with New retention and Differentiation.xlsx]'Coastal N Reductions'!BD101", 15.04)</f>
        <v>15.04</v>
      </c>
      <c r="F37" s="41">
        <f>D37-C37</f>
        <v>15.04</v>
      </c>
      <c r="G37" s="41">
        <f>E37-C37</f>
        <v>15.04</v>
      </c>
      <c r="H37" s="43">
        <f>HYPERLINK("[N Only Old retention.xlsx]'Coastal N Reductions'!AV101", 143.626)</f>
        <v>143.626</v>
      </c>
      <c r="I37" s="43">
        <f>HYPERLINK("[N Only New retention.xlsx]'Coastal N Reductions'!AV101", 135.8)</f>
        <v>135.80000000000001</v>
      </c>
      <c r="J37" s="43">
        <f>HYPERLINK("[N Only with New retention and Differentiation.xlsx]'Coastal N Reductions'!AV101", 135.8)</f>
        <v>135.80000000000001</v>
      </c>
      <c r="K37" s="42">
        <f>I37-H37</f>
        <v>-7.8259999999999934</v>
      </c>
      <c r="L37" s="42">
        <f>J37-H37</f>
        <v>-7.8259999999999934</v>
      </c>
      <c r="M37" s="43">
        <f>HYPERLINK("[N Only Old retention.xlsx]'Coastal N Reductions'!AX101", 425.453999999874)</f>
        <v>425.45399999987399</v>
      </c>
      <c r="N37" s="43">
        <f>HYPERLINK("[N Only New retention.xlsx]'Coastal N Reductions'!AX101", 414.014)</f>
        <v>414.01400000000001</v>
      </c>
      <c r="O37" s="43">
        <f>HYPERLINK("[N Only with New retention and Differentiation.xlsx]'Coastal N Reductions'!AX101", 414.014)</f>
        <v>414.01400000000001</v>
      </c>
      <c r="P37" s="42">
        <f>N37-M37</f>
        <v>-11.439999999873976</v>
      </c>
      <c r="Q37" s="42">
        <f>O37-M37</f>
        <v>-11.439999999873976</v>
      </c>
      <c r="R37" s="13"/>
      <c r="S37" s="13"/>
      <c r="T37" s="13"/>
      <c r="U37" s="13"/>
      <c r="V37" s="13"/>
      <c r="W37" s="43">
        <f>HYPERLINK("[N Only Old retention.xlsx]'Coastal N Reductions'!BI101", 0.22)</f>
        <v>0.22</v>
      </c>
      <c r="X37" s="43">
        <f>HYPERLINK("[N Only New retention.xlsx]'Coastal N Reductions'!BI101", 0.22)</f>
        <v>0.22</v>
      </c>
      <c r="Y37" s="43">
        <f>HYPERLINK("[N Only with New retention and Differentiation.xlsx]'Coastal N Reductions'!BI101", 0.22)</f>
        <v>0.22</v>
      </c>
      <c r="Z37" s="13"/>
      <c r="AA37" s="13"/>
      <c r="AB37" s="28">
        <f>HYPERLINK("[N Only Old retention.xlsx]'Coastal N Reductions'!BS101", 420)</f>
        <v>420</v>
      </c>
      <c r="AC37" s="28">
        <f>HYPERLINK("[N Only New retention.xlsx]'Coastal N Reductions'!BS101", 300)</f>
        <v>300</v>
      </c>
      <c r="AD37" s="28">
        <f>HYPERLINK("[N Only with New retention and Differentiation.xlsx]'Coastal N Reductions'!BS101", 300)</f>
        <v>300</v>
      </c>
      <c r="AE37" s="21">
        <f>AC37-AB37</f>
        <v>-120</v>
      </c>
      <c r="AF37" s="21">
        <f>AD37-AB37</f>
        <v>-120</v>
      </c>
      <c r="AG37" s="13"/>
      <c r="AH37" s="13"/>
      <c r="AI37" s="13"/>
      <c r="AJ37" s="13"/>
      <c r="AK37" s="13"/>
      <c r="AL37" s="43">
        <f>HYPERLINK("[N Only Old retention.xlsx]'Coastal N Reductions'!AZ101", 31.635)</f>
        <v>31.635000000000002</v>
      </c>
      <c r="AM37" s="43">
        <f>HYPERLINK("[N Only New retention.xlsx]'Coastal N Reductions'!AZ101", 36.2166)</f>
        <v>36.2166</v>
      </c>
      <c r="AN37" s="43">
        <f>HYPERLINK("[N Only with New retention and Differentiation.xlsx]'Coastal N Reductions'!AZ101", 36.2166)</f>
        <v>36.2166</v>
      </c>
      <c r="AO37" s="41">
        <f>AM37-AL37</f>
        <v>4.5815999999999981</v>
      </c>
      <c r="AP37" s="41">
        <f>AN37-AL37</f>
        <v>4.5815999999999981</v>
      </c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</row>
    <row r="38" spans="1:62" x14ac:dyDescent="0.55000000000000004">
      <c r="A38" s="30">
        <v>85</v>
      </c>
      <c r="B38" s="6" t="s">
        <v>186</v>
      </c>
      <c r="C38" s="40">
        <f>HYPERLINK("[N Only Old retention.xlsx]'Coastal N Reductions'!BD102", 251.494)</f>
        <v>251.494</v>
      </c>
      <c r="D38" s="40">
        <f>HYPERLINK("[N Only New retention.xlsx]'Coastal N Reductions'!BD102", 267.744)</f>
        <v>267.74400000000003</v>
      </c>
      <c r="E38" s="40">
        <f>HYPERLINK("[N Only with New retention and Differentiation.xlsx]'Coastal N Reductions'!BD102", 266.994)</f>
        <v>266.99400000000003</v>
      </c>
      <c r="F38" s="41">
        <f>D38-C38</f>
        <v>16.250000000000028</v>
      </c>
      <c r="G38" s="41">
        <f>E38-C38</f>
        <v>15.500000000000028</v>
      </c>
      <c r="H38" s="40">
        <f>HYPERLINK("[N Only Old retention.xlsx]'Coastal N Reductions'!AV102", 94.716)</f>
        <v>94.715999999999994</v>
      </c>
      <c r="I38" s="40">
        <f>HYPERLINK("[N Only New retention.xlsx]'Coastal N Reductions'!AV102", 91.216)</f>
        <v>91.215999999999994</v>
      </c>
      <c r="J38" s="40">
        <f>HYPERLINK("[N Only with New retention and Differentiation.xlsx]'Coastal N Reductions'!AV102", 88.36)</f>
        <v>88.36</v>
      </c>
      <c r="K38" s="42">
        <f>I38-H38</f>
        <v>-3.5</v>
      </c>
      <c r="L38" s="42">
        <f>J38-H38</f>
        <v>-6.3559999999999945</v>
      </c>
      <c r="M38" s="40">
        <f>HYPERLINK("[N Only Old retention.xlsx]'Coastal N Reductions'!AX102", 144.582)</f>
        <v>144.58199999999999</v>
      </c>
      <c r="N38" s="40">
        <f>HYPERLINK("[N Only New retention.xlsx]'Coastal N Reductions'!AX102", 137.932)</f>
        <v>137.93199999999999</v>
      </c>
      <c r="O38" s="40">
        <f>HYPERLINK("[N Only with New retention and Differentiation.xlsx]'Coastal N Reductions'!AX102", 140.802)</f>
        <v>140.80199999999999</v>
      </c>
      <c r="P38" s="42">
        <f>N38-M38</f>
        <v>-6.6500000000000057</v>
      </c>
      <c r="Q38" s="42">
        <f>O38-M38</f>
        <v>-3.7800000000000011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40">
        <f>HYPERLINK("[N Only Old retention.xlsx]'Coastal N Reductions'!BH102", 1.02)</f>
        <v>1.02</v>
      </c>
      <c r="AH38" s="40">
        <f>HYPERLINK("[N Only New retention.xlsx]'Coastal N Reductions'!BH102", 1.02)</f>
        <v>1.02</v>
      </c>
      <c r="AI38" s="40">
        <f>HYPERLINK("[N Only with New retention and Differentiation.xlsx]'Coastal N Reductions'!BH102", 1.02)</f>
        <v>1.02</v>
      </c>
      <c r="AJ38" s="18"/>
      <c r="AK38" s="18"/>
      <c r="AL38" s="40">
        <f>HYPERLINK("[N Only Old retention.xlsx]'Coastal N Reductions'!AZ102", 44.6646)</f>
        <v>44.6646</v>
      </c>
      <c r="AM38" s="40">
        <f>HYPERLINK("[N Only New retention.xlsx]'Coastal N Reductions'!AZ102", 46.3086)</f>
        <v>46.308599999999998</v>
      </c>
      <c r="AN38" s="40">
        <f>HYPERLINK("[N Only with New retention and Differentiation.xlsx]'Coastal N Reductions'!AZ102", 45.5718)</f>
        <v>45.571800000000003</v>
      </c>
      <c r="AO38" s="41">
        <f>AM38-AL38</f>
        <v>1.6439999999999984</v>
      </c>
      <c r="AP38" s="41">
        <f>AN38-AL38</f>
        <v>0.90720000000000312</v>
      </c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</row>
    <row r="39" spans="1:62" x14ac:dyDescent="0.55000000000000004">
      <c r="A39" s="31">
        <v>86</v>
      </c>
      <c r="B39" s="5" t="s">
        <v>187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</row>
    <row r="40" spans="1:62" x14ac:dyDescent="0.55000000000000004">
      <c r="A40" s="30">
        <v>87</v>
      </c>
      <c r="B40" s="6" t="s">
        <v>188</v>
      </c>
      <c r="C40" s="40">
        <f>HYPERLINK("[N Only Old retention.xlsx]'Coastal N Reductions'!BD104", 1741.24143999995)</f>
        <v>1741.24143999995</v>
      </c>
      <c r="D40" s="40">
        <f>HYPERLINK("[N Only New retention.xlsx]'Coastal N Reductions'!BD104", 1747.43744)</f>
        <v>1747.4374399999999</v>
      </c>
      <c r="E40" s="40">
        <f>HYPERLINK("[N Only with New retention and Differentiation.xlsx]'Coastal N Reductions'!BD104", 1747.43744)</f>
        <v>1747.4374399999999</v>
      </c>
      <c r="F40" s="41">
        <f>D40-C40</f>
        <v>6.1960000000499349</v>
      </c>
      <c r="G40" s="41">
        <f>E40-C40</f>
        <v>6.1960000000499349</v>
      </c>
      <c r="H40" s="40">
        <f>HYPERLINK("[N Only Old retention.xlsx]'Coastal N Reductions'!AV104", 741.809999999782)</f>
        <v>741.80999999978201</v>
      </c>
      <c r="I40" s="40">
        <f>HYPERLINK("[N Only New retention.xlsx]'Coastal N Reductions'!AV104", 506.224)</f>
        <v>506.22399999999999</v>
      </c>
      <c r="J40" s="40">
        <f>HYPERLINK("[N Only with New retention and Differentiation.xlsx]'Coastal N Reductions'!AV104", 506.198)</f>
        <v>506.19799999999998</v>
      </c>
      <c r="K40" s="42">
        <f>I40-H40</f>
        <v>-235.58599999978202</v>
      </c>
      <c r="L40" s="42">
        <f>J40-H40</f>
        <v>-235.61199999978203</v>
      </c>
      <c r="M40" s="40">
        <f>HYPERLINK("[N Only Old retention.xlsx]'Coastal N Reductions'!AX104", 36.8599999999173)</f>
        <v>36.859999999917299</v>
      </c>
      <c r="N40" s="40">
        <f>HYPERLINK("[N Only New retention.xlsx]'Coastal N Reductions'!AX104", 22.728)</f>
        <v>22.728000000000002</v>
      </c>
      <c r="O40" s="40">
        <f>HYPERLINK("[N Only with New retention and Differentiation.xlsx]'Coastal N Reductions'!AX104", 22.728)</f>
        <v>22.728000000000002</v>
      </c>
      <c r="P40" s="42">
        <f>N40-M40</f>
        <v>-14.131999999917298</v>
      </c>
      <c r="Q40" s="42">
        <f>O40-M40</f>
        <v>-14.131999999917298</v>
      </c>
      <c r="R40" s="40">
        <f>HYPERLINK("[N Only Old retention.xlsx]'Coastal N Reductions'!BF104", 2.584)</f>
        <v>2.5840000000000001</v>
      </c>
      <c r="S40" s="40">
        <f>HYPERLINK("[N Only New retention.xlsx]'Coastal N Reductions'!BF104", 2.584)</f>
        <v>2.5840000000000001</v>
      </c>
      <c r="T40" s="40">
        <f>HYPERLINK("[N Only with New retention and Differentiation.xlsx]'Coastal N Reductions'!BF104", 2.584)</f>
        <v>2.5840000000000001</v>
      </c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40">
        <f>HYPERLINK("[N Only Old retention.xlsx]'Coastal N Reductions'!BH104", 16.338)</f>
        <v>16.338000000000001</v>
      </c>
      <c r="AH40" s="40">
        <f>HYPERLINK("[N Only New retention.xlsx]'Coastal N Reductions'!BH104", 16.234)</f>
        <v>16.234000000000002</v>
      </c>
      <c r="AI40" s="40">
        <f>HYPERLINK("[N Only with New retention and Differentiation.xlsx]'Coastal N Reductions'!BH104", 16.234)</f>
        <v>16.234000000000002</v>
      </c>
      <c r="AJ40" s="42">
        <f>AH40-AG40</f>
        <v>-0.1039999999999992</v>
      </c>
      <c r="AK40" s="42">
        <f>AI40-AG40</f>
        <v>-0.1039999999999992</v>
      </c>
      <c r="AL40" s="40">
        <f>HYPERLINK("[N Only Old retention.xlsx]'Coastal N Reductions'!AZ104", 206.4048)</f>
        <v>206.40479999999999</v>
      </c>
      <c r="AM40" s="40">
        <f>HYPERLINK("[N Only New retention.xlsx]'Coastal N Reductions'!AZ104", 132.2004)</f>
        <v>132.2004</v>
      </c>
      <c r="AN40" s="40">
        <f>HYPERLINK("[N Only with New retention and Differentiation.xlsx]'Coastal N Reductions'!AZ104", 132.2004)</f>
        <v>132.2004</v>
      </c>
      <c r="AO40" s="42">
        <f>AM40-AL40</f>
        <v>-74.204399999999993</v>
      </c>
      <c r="AP40" s="42">
        <f>AN40-AL40</f>
        <v>-74.204399999999993</v>
      </c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</row>
    <row r="41" spans="1:62" x14ac:dyDescent="0.55000000000000004">
      <c r="A41" s="31">
        <v>89</v>
      </c>
      <c r="B41" s="5" t="s">
        <v>189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</row>
    <row r="42" spans="1:62" x14ac:dyDescent="0.55000000000000004">
      <c r="A42" s="30">
        <v>90</v>
      </c>
      <c r="B42" s="6" t="s">
        <v>190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</row>
    <row r="43" spans="1:62" x14ac:dyDescent="0.55000000000000004">
      <c r="A43" s="31">
        <v>92</v>
      </c>
      <c r="B43" s="5" t="s">
        <v>191</v>
      </c>
      <c r="C43" s="43">
        <f>HYPERLINK("[N Only Old retention.xlsx]'Coastal N Reductions'!BD107", 463.82999999991)</f>
        <v>463.82999999991</v>
      </c>
      <c r="D43" s="43">
        <f>HYPERLINK("[N Only New retention.xlsx]'Coastal N Reductions'!BD107", 342.15)</f>
        <v>342.15</v>
      </c>
      <c r="E43" s="43">
        <f>HYPERLINK("[N Only with New retention and Differentiation.xlsx]'Coastal N Reductions'!BD107", 342.15)</f>
        <v>342.15</v>
      </c>
      <c r="F43" s="42">
        <f>D43-C43</f>
        <v>-121.67999999991002</v>
      </c>
      <c r="G43" s="42">
        <f>E43-C43</f>
        <v>-121.67999999991002</v>
      </c>
      <c r="H43" s="43">
        <f>HYPERLINK("[N Only Old retention.xlsx]'Coastal N Reductions'!AV107", 87.14)</f>
        <v>87.14</v>
      </c>
      <c r="I43" s="43">
        <f>HYPERLINK("[N Only New retention.xlsx]'Coastal N Reductions'!AV107", 77.89)</f>
        <v>77.89</v>
      </c>
      <c r="J43" s="43">
        <f>HYPERLINK("[N Only with New retention and Differentiation.xlsx]'Coastal N Reductions'!AV107", 77.89)</f>
        <v>77.89</v>
      </c>
      <c r="K43" s="42">
        <f>I43-H43</f>
        <v>-9.25</v>
      </c>
      <c r="L43" s="42">
        <f>J43-H43</f>
        <v>-9.25</v>
      </c>
      <c r="M43" s="43">
        <f>HYPERLINK("[N Only Old retention.xlsx]'Coastal N Reductions'!AX107", 18.21)</f>
        <v>18.21</v>
      </c>
      <c r="N43" s="43">
        <f>HYPERLINK("[N Only New retention.xlsx]'Coastal N Reductions'!AX107", 3.506)</f>
        <v>3.5059999999999998</v>
      </c>
      <c r="O43" s="43">
        <f>HYPERLINK("[N Only with New retention and Differentiation.xlsx]'Coastal N Reductions'!AX107", 3.506)</f>
        <v>3.5059999999999998</v>
      </c>
      <c r="P43" s="42">
        <f>N43-M43</f>
        <v>-14.704000000000001</v>
      </c>
      <c r="Q43" s="42">
        <f>O43-M43</f>
        <v>-14.704000000000001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43">
        <f>HYPERLINK("[N Only Old retention.xlsx]'Coastal N Reductions'!BH107", 36.214)</f>
        <v>36.213999999999999</v>
      </c>
      <c r="AH43" s="43">
        <f>HYPERLINK("[N Only New retention.xlsx]'Coastal N Reductions'!BH107", 19.65)</f>
        <v>19.649999999999999</v>
      </c>
      <c r="AI43" s="43">
        <f>HYPERLINK("[N Only with New retention and Differentiation.xlsx]'Coastal N Reductions'!BH107", 19.65)</f>
        <v>19.649999999999999</v>
      </c>
      <c r="AJ43" s="42">
        <f>AH43-AG43</f>
        <v>-16.564</v>
      </c>
      <c r="AK43" s="42">
        <f>AI43-AG43</f>
        <v>-16.564</v>
      </c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</row>
    <row r="44" spans="1:62" x14ac:dyDescent="0.55000000000000004">
      <c r="A44" s="30">
        <v>93</v>
      </c>
      <c r="B44" s="6" t="s">
        <v>192</v>
      </c>
      <c r="C44" s="40">
        <f>HYPERLINK("[N Only Old retention.xlsx]'Coastal N Reductions'!BD108", 9073.946)</f>
        <v>9073.9459999999999</v>
      </c>
      <c r="D44" s="40">
        <f>HYPERLINK("[N Only New retention.xlsx]'Coastal N Reductions'!BD108", 8744.054)</f>
        <v>8744.0540000000001</v>
      </c>
      <c r="E44" s="40">
        <f>HYPERLINK("[N Only with New retention and Differentiation.xlsx]'Coastal N Reductions'!BD108", 8725.344)</f>
        <v>8725.3439999999991</v>
      </c>
      <c r="F44" s="42">
        <f>D44-C44</f>
        <v>-329.89199999999983</v>
      </c>
      <c r="G44" s="42">
        <f>E44-C44</f>
        <v>-348.60200000000077</v>
      </c>
      <c r="H44" s="40">
        <f>HYPERLINK("[N Only Old retention.xlsx]'Coastal N Reductions'!AV108", 4109.012)</f>
        <v>4109.0119999999997</v>
      </c>
      <c r="I44" s="40">
        <f>HYPERLINK("[N Only New retention.xlsx]'Coastal N Reductions'!AV108", 4256.392)</f>
        <v>4256.3919999999998</v>
      </c>
      <c r="J44" s="40">
        <f>HYPERLINK("[N Only with New retention and Differentiation.xlsx]'Coastal N Reductions'!AV108", 4260.804)</f>
        <v>4260.8040000000001</v>
      </c>
      <c r="K44" s="41">
        <f>I44-H44</f>
        <v>147.38000000000011</v>
      </c>
      <c r="L44" s="41">
        <f>J44-H44</f>
        <v>151.79200000000037</v>
      </c>
      <c r="M44" s="40">
        <f>HYPERLINK("[N Only Old retention.xlsx]'Coastal N Reductions'!AX108", 1601.352)</f>
        <v>1601.3520000000001</v>
      </c>
      <c r="N44" s="40">
        <f>HYPERLINK("[N Only New retention.xlsx]'Coastal N Reductions'!AX108", 1230.968)</f>
        <v>1230.9680000000001</v>
      </c>
      <c r="O44" s="40">
        <f>HYPERLINK("[N Only with New retention and Differentiation.xlsx]'Coastal N Reductions'!AX108", 1223.238)</f>
        <v>1223.2380000000001</v>
      </c>
      <c r="P44" s="42">
        <f>N44-M44</f>
        <v>-370.38400000000001</v>
      </c>
      <c r="Q44" s="42">
        <f>O44-M44</f>
        <v>-378.11400000000003</v>
      </c>
      <c r="R44" s="40">
        <f>HYPERLINK("[N Only Old retention.xlsx]'Coastal N Reductions'!BF108", 460.586)</f>
        <v>460.58600000000001</v>
      </c>
      <c r="S44" s="40">
        <f>HYPERLINK("[N Only New retention.xlsx]'Coastal N Reductions'!BF108", 450.296)</f>
        <v>450.29599999999999</v>
      </c>
      <c r="T44" s="40">
        <f>HYPERLINK("[N Only with New retention and Differentiation.xlsx]'Coastal N Reductions'!BF108", 450.296)</f>
        <v>450.29599999999999</v>
      </c>
      <c r="U44" s="42">
        <f>S44-R44</f>
        <v>-10.29000000000002</v>
      </c>
      <c r="V44" s="42">
        <f>T44-R44</f>
        <v>-10.29000000000002</v>
      </c>
      <c r="W44" s="40">
        <f>HYPERLINK("[N Only Old retention.xlsx]'Coastal N Reductions'!BI108", 179.864415672913)</f>
        <v>179.864415672913</v>
      </c>
      <c r="X44" s="40">
        <f>HYPERLINK("[N Only New retention.xlsx]'Coastal N Reductions'!BI108", 167.058415672913)</f>
        <v>167.05841567291299</v>
      </c>
      <c r="Y44" s="40">
        <f>HYPERLINK("[N Only with New retention and Differentiation.xlsx]'Coastal N Reductions'!BI108", 166.578415672913)</f>
        <v>166.578415672913</v>
      </c>
      <c r="Z44" s="42">
        <f>X44-W44</f>
        <v>-12.806000000000012</v>
      </c>
      <c r="AA44" s="42">
        <f>Y44-W44</f>
        <v>-13.286000000000001</v>
      </c>
      <c r="AB44" s="18"/>
      <c r="AC44" s="18"/>
      <c r="AD44" s="18"/>
      <c r="AE44" s="18"/>
      <c r="AF44" s="18"/>
      <c r="AG44" s="40">
        <f>HYPERLINK("[N Only Old retention.xlsx]'Coastal N Reductions'!BH108", 151.215560155239)</f>
        <v>151.21556015523899</v>
      </c>
      <c r="AH44" s="40">
        <f>HYPERLINK("[N Only New retention.xlsx]'Coastal N Reductions'!BH108", 104.467560155239)</f>
        <v>104.467560155239</v>
      </c>
      <c r="AI44" s="40">
        <f>HYPERLINK("[N Only with New retention and Differentiation.xlsx]'Coastal N Reductions'!BH108", 104.987560155239)</f>
        <v>104.987560155239</v>
      </c>
      <c r="AJ44" s="42">
        <f>AH44-AG44</f>
        <v>-46.74799999999999</v>
      </c>
      <c r="AK44" s="42">
        <f>AI44-AG44</f>
        <v>-46.227999999999994</v>
      </c>
      <c r="AL44" s="40">
        <f>HYPERLINK("[N Only Old retention.xlsx]'Coastal N Reductions'!AZ108", 2177.2734)</f>
        <v>2177.2734</v>
      </c>
      <c r="AM44" s="40">
        <f>HYPERLINK("[N Only New retention.xlsx]'Coastal N Reductions'!AZ108", 2267.736)</f>
        <v>2267.7359999999999</v>
      </c>
      <c r="AN44" s="40">
        <f>HYPERLINK("[N Only with New retention and Differentiation.xlsx]'Coastal N Reductions'!AZ108", 2267.736)</f>
        <v>2267.7359999999999</v>
      </c>
      <c r="AO44" s="41">
        <f>AM44-AL44</f>
        <v>90.462599999999838</v>
      </c>
      <c r="AP44" s="41">
        <f>AN44-AL44</f>
        <v>90.462599999999838</v>
      </c>
      <c r="AQ44" s="40">
        <f>HYPERLINK("[N Only Old retention.xlsx]'Coastal N Reductions'!BE108", 0.82)</f>
        <v>0.82</v>
      </c>
      <c r="AR44" s="18"/>
      <c r="AS44" s="18"/>
      <c r="AT44" s="42">
        <f>AR44-AQ44</f>
        <v>-0.82</v>
      </c>
      <c r="AU44" s="42">
        <f>AS44-AQ44</f>
        <v>-0.82</v>
      </c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</row>
    <row r="45" spans="1:62" x14ac:dyDescent="0.55000000000000004">
      <c r="A45" s="31">
        <v>95</v>
      </c>
      <c r="B45" s="5" t="s">
        <v>193</v>
      </c>
      <c r="C45" s="43">
        <f>HYPERLINK("[N Only Old retention.xlsx]'Coastal N Reductions'!BD109", 103.17)</f>
        <v>103.17</v>
      </c>
      <c r="D45" s="43">
        <f>HYPERLINK("[N Only New retention.xlsx]'Coastal N Reductions'!BD109", 100.71)</f>
        <v>100.71</v>
      </c>
      <c r="E45" s="43">
        <f>HYPERLINK("[N Only with New retention and Differentiation.xlsx]'Coastal N Reductions'!BD109", 100.71)</f>
        <v>100.71</v>
      </c>
      <c r="F45" s="42">
        <f>D45-C45</f>
        <v>-2.460000000000008</v>
      </c>
      <c r="G45" s="42">
        <f>E45-C45</f>
        <v>-2.460000000000008</v>
      </c>
      <c r="H45" s="43">
        <f>HYPERLINK("[N Only Old retention.xlsx]'Coastal N Reductions'!AV109", 498.542)</f>
        <v>498.54199999999997</v>
      </c>
      <c r="I45" s="43">
        <f>HYPERLINK("[N Only New retention.xlsx]'Coastal N Reductions'!AV109", 523.484)</f>
        <v>523.48400000000004</v>
      </c>
      <c r="J45" s="43">
        <f>HYPERLINK("[N Only with New retention and Differentiation.xlsx]'Coastal N Reductions'!AV109", 523.484)</f>
        <v>523.48400000000004</v>
      </c>
      <c r="K45" s="41">
        <f>I45-H45</f>
        <v>24.942000000000064</v>
      </c>
      <c r="L45" s="41">
        <f>J45-H45</f>
        <v>24.942000000000064</v>
      </c>
      <c r="M45" s="43">
        <f>HYPERLINK("[N Only Old retention.xlsx]'Coastal N Reductions'!AX109", 130.479999999914)</f>
        <v>130.47999999991401</v>
      </c>
      <c r="N45" s="43">
        <f>HYPERLINK("[N Only New retention.xlsx]'Coastal N Reductions'!AX109", 91.366)</f>
        <v>91.366</v>
      </c>
      <c r="O45" s="43">
        <f>HYPERLINK("[N Only with New retention and Differentiation.xlsx]'Coastal N Reductions'!AX109", 91.366)</f>
        <v>91.366</v>
      </c>
      <c r="P45" s="42">
        <f>N45-M45</f>
        <v>-39.113999999914014</v>
      </c>
      <c r="Q45" s="42">
        <f>O45-M45</f>
        <v>-39.113999999914014</v>
      </c>
      <c r="R45" s="13"/>
      <c r="S45" s="13"/>
      <c r="T45" s="13"/>
      <c r="U45" s="13"/>
      <c r="V45" s="13"/>
      <c r="W45" s="43">
        <f>HYPERLINK("[N Only Old retention.xlsx]'Coastal N Reductions'!BI109", 22.24)</f>
        <v>22.24</v>
      </c>
      <c r="X45" s="43">
        <f>HYPERLINK("[N Only New retention.xlsx]'Coastal N Reductions'!BI109", 13.344)</f>
        <v>13.343999999999999</v>
      </c>
      <c r="Y45" s="43">
        <f>HYPERLINK("[N Only with New retention and Differentiation.xlsx]'Coastal N Reductions'!BI109", 13.344)</f>
        <v>13.343999999999999</v>
      </c>
      <c r="Z45" s="42">
        <f>X45-W45</f>
        <v>-8.895999999999999</v>
      </c>
      <c r="AA45" s="42">
        <f>Y45-W45</f>
        <v>-8.895999999999999</v>
      </c>
      <c r="AB45" s="13"/>
      <c r="AC45" s="13"/>
      <c r="AD45" s="13"/>
      <c r="AE45" s="13"/>
      <c r="AF45" s="13"/>
      <c r="AG45" s="43">
        <f>HYPERLINK("[N Only Old retention.xlsx]'Coastal N Reductions'!BH109", 0.6)</f>
        <v>0.6</v>
      </c>
      <c r="AH45" s="13"/>
      <c r="AI45" s="13"/>
      <c r="AJ45" s="42">
        <f>AH45-AG45</f>
        <v>-0.6</v>
      </c>
      <c r="AK45" s="42">
        <f>AI45-AG45</f>
        <v>-0.6</v>
      </c>
      <c r="AL45" s="43">
        <f>HYPERLINK("[N Only Old retention.xlsx]'Coastal N Reductions'!AZ109", 638.1696)</f>
        <v>638.16959999999995</v>
      </c>
      <c r="AM45" s="43">
        <f>HYPERLINK("[N Only New retention.xlsx]'Coastal N Reductions'!AZ109", 670.797)</f>
        <v>670.79700000000003</v>
      </c>
      <c r="AN45" s="43">
        <f>HYPERLINK("[N Only with New retention and Differentiation.xlsx]'Coastal N Reductions'!AZ109", 670.797)</f>
        <v>670.79700000000003</v>
      </c>
      <c r="AO45" s="41">
        <f>AM45-AL45</f>
        <v>32.62740000000008</v>
      </c>
      <c r="AP45" s="41">
        <f>AN45-AL45</f>
        <v>32.62740000000008</v>
      </c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</row>
    <row r="46" spans="1:62" x14ac:dyDescent="0.55000000000000004">
      <c r="A46" s="30">
        <v>96</v>
      </c>
      <c r="B46" s="6" t="s">
        <v>194</v>
      </c>
      <c r="C46" s="40">
        <f>HYPERLINK("[N Only Old retention.xlsx]'Coastal N Reductions'!BD110", 676.316)</f>
        <v>676.31600000000003</v>
      </c>
      <c r="D46" s="40">
        <f>HYPERLINK("[N Only New retention.xlsx]'Coastal N Reductions'!BD110", 880.453999999923)</f>
        <v>880.45399999992298</v>
      </c>
      <c r="E46" s="40">
        <f>HYPERLINK("[N Only with New retention and Differentiation.xlsx]'Coastal N Reductions'!BD110", 880.453999999925)</f>
        <v>880.45399999992503</v>
      </c>
      <c r="F46" s="41">
        <f>D46-C46</f>
        <v>204.13799999992295</v>
      </c>
      <c r="G46" s="41">
        <f>E46-C46</f>
        <v>204.137999999925</v>
      </c>
      <c r="H46" s="40">
        <f>HYPERLINK("[N Only Old retention.xlsx]'Coastal N Reductions'!AV110", 529.88)</f>
        <v>529.88</v>
      </c>
      <c r="I46" s="40">
        <f>HYPERLINK("[N Only New retention.xlsx]'Coastal N Reductions'!AV110", 545.294)</f>
        <v>545.29399999999998</v>
      </c>
      <c r="J46" s="40">
        <f>HYPERLINK("[N Only with New retention and Differentiation.xlsx]'Coastal N Reductions'!AV110", 545.294)</f>
        <v>545.29399999999998</v>
      </c>
      <c r="K46" s="41">
        <f>I46-H46</f>
        <v>15.413999999999987</v>
      </c>
      <c r="L46" s="41">
        <f>J46-H46</f>
        <v>15.413999999999987</v>
      </c>
      <c r="M46" s="40">
        <f>HYPERLINK("[N Only Old retention.xlsx]'Coastal N Reductions'!AX110", 1451.53)</f>
        <v>1451.53</v>
      </c>
      <c r="N46" s="40">
        <f>HYPERLINK("[N Only New retention.xlsx]'Coastal N Reductions'!AX110", 1478.152)</f>
        <v>1478.152</v>
      </c>
      <c r="O46" s="40">
        <f>HYPERLINK("[N Only with New retention and Differentiation.xlsx]'Coastal N Reductions'!AX110", 1476.792)</f>
        <v>1476.7919999999999</v>
      </c>
      <c r="P46" s="41">
        <f>N46-M46</f>
        <v>26.622000000000071</v>
      </c>
      <c r="Q46" s="41">
        <f>O46-M46</f>
        <v>25.261999999999944</v>
      </c>
      <c r="R46" s="18"/>
      <c r="S46" s="18"/>
      <c r="T46" s="18"/>
      <c r="U46" s="18"/>
      <c r="V46" s="18"/>
      <c r="W46" s="40">
        <f>HYPERLINK("[N Only Old retention.xlsx]'Coastal N Reductions'!BI110", 42.5931923076923)</f>
        <v>42.593192307692298</v>
      </c>
      <c r="X46" s="40">
        <f>HYPERLINK("[N Only New retention.xlsx]'Coastal N Reductions'!BI110", 41.9631923076923)</f>
        <v>41.963192307692303</v>
      </c>
      <c r="Y46" s="40">
        <f>HYPERLINK("[N Only with New retention and Differentiation.xlsx]'Coastal N Reductions'!BI110", 41.9631923076923)</f>
        <v>41.963192307692303</v>
      </c>
      <c r="Z46" s="42">
        <f>X46-W46</f>
        <v>-0.62999999999999545</v>
      </c>
      <c r="AA46" s="42">
        <f>Y46-W46</f>
        <v>-0.62999999999999545</v>
      </c>
      <c r="AB46" s="18"/>
      <c r="AC46" s="26">
        <f>HYPERLINK("[N Only New retention.xlsx]'Coastal N Reductions'!BS110", 500)</f>
        <v>500</v>
      </c>
      <c r="AD46" s="26">
        <f>HYPERLINK("[N Only with New retention and Differentiation.xlsx]'Coastal N Reductions'!BS110", 500)</f>
        <v>500</v>
      </c>
      <c r="AE46" s="16">
        <f>AC46-AB46</f>
        <v>500</v>
      </c>
      <c r="AF46" s="16">
        <f>AD46-AB46</f>
        <v>500</v>
      </c>
      <c r="AG46" s="40">
        <f>HYPERLINK("[N Only Old retention.xlsx]'Coastal N Reductions'!BH110", 4.67)</f>
        <v>4.67</v>
      </c>
      <c r="AH46" s="40">
        <f>HYPERLINK("[N Only New retention.xlsx]'Coastal N Reductions'!BH110", 15.21)</f>
        <v>15.21</v>
      </c>
      <c r="AI46" s="40">
        <f>HYPERLINK("[N Only with New retention and Differentiation.xlsx]'Coastal N Reductions'!BH110", 14.07)</f>
        <v>14.07</v>
      </c>
      <c r="AJ46" s="41">
        <f>AH46-AG46</f>
        <v>10.540000000000001</v>
      </c>
      <c r="AK46" s="41">
        <f>AI46-AG46</f>
        <v>9.4</v>
      </c>
      <c r="AL46" s="40">
        <f>HYPERLINK("[N Only Old retention.xlsx]'Coastal N Reductions'!AZ110", 332.454)</f>
        <v>332.45400000000001</v>
      </c>
      <c r="AM46" s="40">
        <f>HYPERLINK("[N Only New retention.xlsx]'Coastal N Reductions'!AZ110", 269.6052)</f>
        <v>269.60520000000002</v>
      </c>
      <c r="AN46" s="40">
        <f>HYPERLINK("[N Only with New retention and Differentiation.xlsx]'Coastal N Reductions'!AZ110", 269.6052)</f>
        <v>269.60520000000002</v>
      </c>
      <c r="AO46" s="42">
        <f>AM46-AL46</f>
        <v>-62.848799999999983</v>
      </c>
      <c r="AP46" s="42">
        <f>AN46-AL46</f>
        <v>-62.848799999999983</v>
      </c>
      <c r="AQ46" s="18"/>
      <c r="AR46" s="40">
        <f>HYPERLINK("[N Only New retention.xlsx]'Coastal N Reductions'!BE110", 2.52)</f>
        <v>2.52</v>
      </c>
      <c r="AS46" s="40">
        <f>HYPERLINK("[N Only with New retention and Differentiation.xlsx]'Coastal N Reductions'!BE110", 2.52)</f>
        <v>2.52</v>
      </c>
      <c r="AT46" s="41">
        <f>AR46-AQ46</f>
        <v>2.52</v>
      </c>
      <c r="AU46" s="41">
        <f>AS46-AQ46</f>
        <v>2.52</v>
      </c>
      <c r="AV46" s="18"/>
      <c r="AW46" s="18"/>
      <c r="AX46" s="40">
        <f>HYPERLINK("[N Only with New retention and Differentiation.xlsx]'Coastal N Reductions'!BC110", 2.51)</f>
        <v>2.5099999999999998</v>
      </c>
      <c r="AY46" s="18"/>
      <c r="AZ46" s="41">
        <f>AX46-AV46</f>
        <v>2.5099999999999998</v>
      </c>
      <c r="BA46" s="18"/>
      <c r="BB46" s="18"/>
      <c r="BC46" s="18"/>
      <c r="BD46" s="18"/>
      <c r="BE46" s="18"/>
      <c r="BF46" s="18"/>
      <c r="BG46" s="18"/>
      <c r="BH46" s="18"/>
      <c r="BI46" s="18"/>
      <c r="BJ46" s="18"/>
    </row>
    <row r="47" spans="1:62" x14ac:dyDescent="0.55000000000000004">
      <c r="A47" s="31">
        <v>101</v>
      </c>
      <c r="B47" s="5" t="s">
        <v>195</v>
      </c>
      <c r="C47" s="43">
        <f>HYPERLINK("[N Only Old retention.xlsx]'Coastal N Reductions'!BD3", 153.741999999952)</f>
        <v>153.74199999995199</v>
      </c>
      <c r="D47" s="43">
        <f>HYPERLINK("[N Only New retention.xlsx]'Coastal N Reductions'!BD3", 173.472)</f>
        <v>173.47200000000001</v>
      </c>
      <c r="E47" s="43">
        <f>HYPERLINK("[N Only with New retention and Differentiation.xlsx]'Coastal N Reductions'!BD3", 182.709999999981)</f>
        <v>182.70999999998099</v>
      </c>
      <c r="F47" s="41">
        <f>D47-C47</f>
        <v>19.730000000048022</v>
      </c>
      <c r="G47" s="41">
        <f>E47-C47</f>
        <v>28.968000000029008</v>
      </c>
      <c r="H47" s="43">
        <f>HYPERLINK("[N Only Old retention.xlsx]'Coastal N Reductions'!AV3", 222.306)</f>
        <v>222.30600000000001</v>
      </c>
      <c r="I47" s="43">
        <f>HYPERLINK("[N Only New retention.xlsx]'Coastal N Reductions'!AV3", 184.472)</f>
        <v>184.47200000000001</v>
      </c>
      <c r="J47" s="43">
        <f>HYPERLINK("[N Only with New retention and Differentiation.xlsx]'Coastal N Reductions'!AV3", 184.604)</f>
        <v>184.60400000000001</v>
      </c>
      <c r="K47" s="42">
        <f>I47-H47</f>
        <v>-37.834000000000003</v>
      </c>
      <c r="L47" s="42">
        <f>J47-H47</f>
        <v>-37.701999999999998</v>
      </c>
      <c r="M47" s="43">
        <f>HYPERLINK("[N Only Old retention.xlsx]'Coastal N Reductions'!AX3", 32.31)</f>
        <v>32.31</v>
      </c>
      <c r="N47" s="43">
        <f>HYPERLINK("[N Only New retention.xlsx]'Coastal N Reductions'!AX3", 18.26)</f>
        <v>18.260000000000002</v>
      </c>
      <c r="O47" s="43">
        <f>HYPERLINK("[N Only with New retention and Differentiation.xlsx]'Coastal N Reductions'!AX3", 18.26)</f>
        <v>18.260000000000002</v>
      </c>
      <c r="P47" s="42">
        <f>N47-M47</f>
        <v>-14.05</v>
      </c>
      <c r="Q47" s="42">
        <f>O47-M47</f>
        <v>-14.05</v>
      </c>
      <c r="R47" s="43">
        <f>HYPERLINK("[N Only Old retention.xlsx]'Coastal N Reductions'!BF3", 33.8799999999204)</f>
        <v>33.8799999999204</v>
      </c>
      <c r="S47" s="43">
        <f>HYPERLINK("[N Only New retention.xlsx]'Coastal N Reductions'!BF3", 15.768)</f>
        <v>15.768000000000001</v>
      </c>
      <c r="T47" s="43">
        <f>HYPERLINK("[N Only with New retention and Differentiation.xlsx]'Coastal N Reductions'!BF3", 6.53000000000001)</f>
        <v>6.53000000000001</v>
      </c>
      <c r="U47" s="42">
        <f>S47-R47</f>
        <v>-18.1119999999204</v>
      </c>
      <c r="V47" s="42">
        <f>T47-R47</f>
        <v>-27.349999999920392</v>
      </c>
      <c r="W47" s="43">
        <f>HYPERLINK("[N Only Old retention.xlsx]'Coastal N Reductions'!BI3", 16.6439999999947)</f>
        <v>16.643999999994701</v>
      </c>
      <c r="X47" s="43">
        <f>HYPERLINK("[N Only New retention.xlsx]'Coastal N Reductions'!BI3", 25.08)</f>
        <v>25.08</v>
      </c>
      <c r="Y47" s="43">
        <f>HYPERLINK("[N Only with New retention and Differentiation.xlsx]'Coastal N Reductions'!BI3", 25.08)</f>
        <v>25.08</v>
      </c>
      <c r="Z47" s="41">
        <f>X47-W47</f>
        <v>8.436000000005297</v>
      </c>
      <c r="AA47" s="41">
        <f>Y47-W47</f>
        <v>8.436000000005297</v>
      </c>
      <c r="AB47" s="13"/>
      <c r="AC47" s="13"/>
      <c r="AD47" s="13"/>
      <c r="AE47" s="13"/>
      <c r="AF47" s="13"/>
      <c r="AG47" s="43">
        <f>HYPERLINK("[N Only Old retention.xlsx]'Coastal N Reductions'!BH3", 12.01)</f>
        <v>12.01</v>
      </c>
      <c r="AH47" s="43">
        <f>HYPERLINK("[N Only New retention.xlsx]'Coastal N Reductions'!BH3", 13.43)</f>
        <v>13.43</v>
      </c>
      <c r="AI47" s="43">
        <f>HYPERLINK("[N Only with New retention and Differentiation.xlsx]'Coastal N Reductions'!BH3", 13.4699999999798)</f>
        <v>13.4699999999798</v>
      </c>
      <c r="AJ47" s="41">
        <f>AH47-AG47</f>
        <v>1.42</v>
      </c>
      <c r="AK47" s="41">
        <f>AI47-AG47</f>
        <v>1.4599999999798001</v>
      </c>
      <c r="AL47" s="43">
        <f>HYPERLINK("[N Only Old retention.xlsx]'Coastal N Reductions'!AZ3", 21.9834)</f>
        <v>21.9834</v>
      </c>
      <c r="AM47" s="43">
        <f>HYPERLINK("[N Only New retention.xlsx]'Coastal N Reductions'!AZ3", 0.3354)</f>
        <v>0.33539999999999998</v>
      </c>
      <c r="AN47" s="43">
        <f>HYPERLINK("[N Only with New retention and Differentiation.xlsx]'Coastal N Reductions'!AZ3", 0.2094)</f>
        <v>0.2094</v>
      </c>
      <c r="AO47" s="42">
        <f>AM47-AL47</f>
        <v>-21.648</v>
      </c>
      <c r="AP47" s="42">
        <f>AN47-AL47</f>
        <v>-21.774000000000001</v>
      </c>
      <c r="AQ47" s="13"/>
      <c r="AR47" s="43">
        <f>HYPERLINK("[N Only New retention.xlsx]'Coastal N Reductions'!BE3", 0.0719999999999997)</f>
        <v>7.1999999999999703E-2</v>
      </c>
      <c r="AS47" s="13"/>
      <c r="AT47" s="41">
        <f>AR47-AQ47</f>
        <v>7.1999999999999703E-2</v>
      </c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</row>
    <row r="48" spans="1:62" x14ac:dyDescent="0.55000000000000004">
      <c r="A48" s="30">
        <v>102</v>
      </c>
      <c r="B48" s="6" t="s">
        <v>196</v>
      </c>
      <c r="C48" s="40">
        <f>HYPERLINK("[N Only Old retention.xlsx]'Coastal N Reductions'!BD4", 529.157999999918)</f>
        <v>529.15799999991805</v>
      </c>
      <c r="D48" s="40">
        <f>HYPERLINK("[N Only New retention.xlsx]'Coastal N Reductions'!BD4", 1238.138)</f>
        <v>1238.1379999999999</v>
      </c>
      <c r="E48" s="40">
        <f>HYPERLINK("[N Only with New retention and Differentiation.xlsx]'Coastal N Reductions'!BD4", 1243.638)</f>
        <v>1243.6379999999999</v>
      </c>
      <c r="F48" s="41">
        <f>D48-C48</f>
        <v>708.98000000008187</v>
      </c>
      <c r="G48" s="41">
        <f>E48-C48</f>
        <v>714.48000000008187</v>
      </c>
      <c r="H48" s="40">
        <f>HYPERLINK("[N Only Old retention.xlsx]'Coastal N Reductions'!AV4", 320.018)</f>
        <v>320.01799999999997</v>
      </c>
      <c r="I48" s="40">
        <f>HYPERLINK("[N Only New retention.xlsx]'Coastal N Reductions'!AV4", 193.068)</f>
        <v>193.06800000000001</v>
      </c>
      <c r="J48" s="40">
        <f>HYPERLINK("[N Only with New retention and Differentiation.xlsx]'Coastal N Reductions'!AV4", 189.556)</f>
        <v>189.55600000000001</v>
      </c>
      <c r="K48" s="42">
        <f>I48-H48</f>
        <v>-126.94999999999996</v>
      </c>
      <c r="L48" s="42">
        <f>J48-H48</f>
        <v>-130.46199999999996</v>
      </c>
      <c r="M48" s="40">
        <f>HYPERLINK("[N Only Old retention.xlsx]'Coastal N Reductions'!AX4", 332.924)</f>
        <v>332.92399999999998</v>
      </c>
      <c r="N48" s="40">
        <f>HYPERLINK("[N Only New retention.xlsx]'Coastal N Reductions'!AX4", 229.616)</f>
        <v>229.61600000000001</v>
      </c>
      <c r="O48" s="40">
        <f>HYPERLINK("[N Only with New retention and Differentiation.xlsx]'Coastal N Reductions'!AX4", 228.626)</f>
        <v>228.626</v>
      </c>
      <c r="P48" s="42">
        <f>N48-M48</f>
        <v>-103.30799999999996</v>
      </c>
      <c r="Q48" s="42">
        <f>O48-M48</f>
        <v>-104.29799999999997</v>
      </c>
      <c r="R48" s="40">
        <f>HYPERLINK("[N Only Old retention.xlsx]'Coastal N Reductions'!BF4", 67.27)</f>
        <v>67.27</v>
      </c>
      <c r="S48" s="40">
        <f>HYPERLINK("[N Only New retention.xlsx]'Coastal N Reductions'!BF4", 148.012)</f>
        <v>148.012</v>
      </c>
      <c r="T48" s="40">
        <f>HYPERLINK("[N Only with New retention and Differentiation.xlsx]'Coastal N Reductions'!BF4", 145.092)</f>
        <v>145.09200000000001</v>
      </c>
      <c r="U48" s="41">
        <f>S48-R48</f>
        <v>80.742000000000004</v>
      </c>
      <c r="V48" s="41">
        <f>T48-R48</f>
        <v>77.822000000000017</v>
      </c>
      <c r="W48" s="40">
        <f>HYPERLINK("[N Only Old retention.xlsx]'Coastal N Reductions'!BI4", 10.77)</f>
        <v>10.77</v>
      </c>
      <c r="X48" s="40">
        <f>HYPERLINK("[N Only New retention.xlsx]'Coastal N Reductions'!BI4", 11.624)</f>
        <v>11.624000000000001</v>
      </c>
      <c r="Y48" s="40">
        <f>HYPERLINK("[N Only with New retention and Differentiation.xlsx]'Coastal N Reductions'!BI4", 11.624)</f>
        <v>11.624000000000001</v>
      </c>
      <c r="Z48" s="41">
        <f>X48-W48</f>
        <v>0.85400000000000098</v>
      </c>
      <c r="AA48" s="41">
        <f>Y48-W48</f>
        <v>0.85400000000000098</v>
      </c>
      <c r="AB48" s="18"/>
      <c r="AC48" s="26">
        <f>HYPERLINK("[N Only New retention.xlsx]'Coastal N Reductions'!BS4", 1960)</f>
        <v>1960</v>
      </c>
      <c r="AD48" s="26">
        <f>HYPERLINK("[N Only with New retention and Differentiation.xlsx]'Coastal N Reductions'!BS4", 1960)</f>
        <v>1960</v>
      </c>
      <c r="AE48" s="16">
        <f>AC48-AB48</f>
        <v>1960</v>
      </c>
      <c r="AF48" s="16">
        <f>AD48-AB48</f>
        <v>1960</v>
      </c>
      <c r="AG48" s="40">
        <f>HYPERLINK("[N Only Old retention.xlsx]'Coastal N Reductions'!BH4", 21.59)</f>
        <v>21.59</v>
      </c>
      <c r="AH48" s="40">
        <f>HYPERLINK("[N Only New retention.xlsx]'Coastal N Reductions'!BH4", 36.638)</f>
        <v>36.637999999999998</v>
      </c>
      <c r="AI48" s="40">
        <f>HYPERLINK("[N Only with New retention and Differentiation.xlsx]'Coastal N Reductions'!BH4", 36.598)</f>
        <v>36.597999999999999</v>
      </c>
      <c r="AJ48" s="41">
        <f>AH48-AG48</f>
        <v>15.047999999999998</v>
      </c>
      <c r="AK48" s="41">
        <f>AI48-AG48</f>
        <v>15.007999999999999</v>
      </c>
      <c r="AL48" s="40">
        <f>HYPERLINK("[N Only Old retention.xlsx]'Coastal N Reductions'!AZ4", 149.4942)</f>
        <v>149.49420000000001</v>
      </c>
      <c r="AM48" s="40">
        <f>HYPERLINK("[N Only New retention.xlsx]'Coastal N Reductions'!AZ4", 47.4468)</f>
        <v>47.446800000000003</v>
      </c>
      <c r="AN48" s="40">
        <f>HYPERLINK("[N Only with New retention and Differentiation.xlsx]'Coastal N Reductions'!AZ4", 47.7924)</f>
        <v>47.792400000000001</v>
      </c>
      <c r="AO48" s="42">
        <f>AM48-AL48</f>
        <v>-102.04740000000001</v>
      </c>
      <c r="AP48" s="42">
        <f>AN48-AL48</f>
        <v>-101.70180000000001</v>
      </c>
      <c r="AQ48" s="18"/>
      <c r="AR48" s="40">
        <f>HYPERLINK("[N Only New retention.xlsx]'Coastal N Reductions'!BE4", 11.282)</f>
        <v>11.282</v>
      </c>
      <c r="AS48" s="40">
        <f>HYPERLINK("[N Only with New retention and Differentiation.xlsx]'Coastal N Reductions'!BE4", 11.282)</f>
        <v>11.282</v>
      </c>
      <c r="AT48" s="41">
        <f>AR48-AQ48</f>
        <v>11.282</v>
      </c>
      <c r="AU48" s="41">
        <f>AS48-AQ48</f>
        <v>11.282</v>
      </c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</row>
    <row r="49" spans="1:62" x14ac:dyDescent="0.55000000000000004">
      <c r="A49" s="31">
        <v>103</v>
      </c>
      <c r="B49" s="5" t="s">
        <v>197</v>
      </c>
      <c r="C49" s="43">
        <f>HYPERLINK("[N Only Old retention.xlsx]'Coastal N Reductions'!BD5", 775.955999999833)</f>
        <v>775.95599999983301</v>
      </c>
      <c r="D49" s="43">
        <f>HYPERLINK("[N Only New retention.xlsx]'Coastal N Reductions'!BD5", 780.639999999963)</f>
        <v>780.63999999996304</v>
      </c>
      <c r="E49" s="43">
        <f>HYPERLINK("[N Only with New retention and Differentiation.xlsx]'Coastal N Reductions'!BD5", 773.93)</f>
        <v>773.93</v>
      </c>
      <c r="F49" s="41">
        <f>D49-C49</f>
        <v>4.6840000001300268</v>
      </c>
      <c r="G49" s="42">
        <f>E49-C49</f>
        <v>-2.0259999998330613</v>
      </c>
      <c r="H49" s="43">
        <f>HYPERLINK("[N Only Old retention.xlsx]'Coastal N Reductions'!AV5", 572.368)</f>
        <v>572.36800000000005</v>
      </c>
      <c r="I49" s="43">
        <f>HYPERLINK("[N Only New retention.xlsx]'Coastal N Reductions'!AV5", 511.418)</f>
        <v>511.41800000000001</v>
      </c>
      <c r="J49" s="43">
        <f>HYPERLINK("[N Only with New retention and Differentiation.xlsx]'Coastal N Reductions'!AV5", 512.938)</f>
        <v>512.93799999999999</v>
      </c>
      <c r="K49" s="42">
        <f>I49-H49</f>
        <v>-60.950000000000045</v>
      </c>
      <c r="L49" s="42">
        <f>J49-H49</f>
        <v>-59.430000000000064</v>
      </c>
      <c r="M49" s="43">
        <f>HYPERLINK("[N Only Old retention.xlsx]'Coastal N Reductions'!AX5", 281.429999999849)</f>
        <v>281.42999999984897</v>
      </c>
      <c r="N49" s="43">
        <f>HYPERLINK("[N Only New retention.xlsx]'Coastal N Reductions'!AX5", 95.87)</f>
        <v>95.87</v>
      </c>
      <c r="O49" s="43">
        <f>HYPERLINK("[N Only with New retention and Differentiation.xlsx]'Coastal N Reductions'!AX5", 95.87)</f>
        <v>95.87</v>
      </c>
      <c r="P49" s="42">
        <f>N49-M49</f>
        <v>-185.55999999984897</v>
      </c>
      <c r="Q49" s="42">
        <f>O49-M49</f>
        <v>-185.55999999984897</v>
      </c>
      <c r="R49" s="43">
        <f>HYPERLINK("[N Only Old retention.xlsx]'Coastal N Reductions'!BF5", 196.6)</f>
        <v>196.6</v>
      </c>
      <c r="S49" s="43">
        <f>HYPERLINK("[N Only New retention.xlsx]'Coastal N Reductions'!BF5", 207.1)</f>
        <v>207.1</v>
      </c>
      <c r="T49" s="43">
        <f>HYPERLINK("[N Only with New retention and Differentiation.xlsx]'Coastal N Reductions'!BF5", 200.2)</f>
        <v>200.2</v>
      </c>
      <c r="U49" s="41">
        <f>S49-R49</f>
        <v>10.5</v>
      </c>
      <c r="V49" s="41">
        <f>T49-R49</f>
        <v>3.5999999999999943</v>
      </c>
      <c r="W49" s="43">
        <f>HYPERLINK("[N Only Old retention.xlsx]'Coastal N Reductions'!BI5", 34.104)</f>
        <v>34.103999999999999</v>
      </c>
      <c r="X49" s="43">
        <f>HYPERLINK("[N Only New retention.xlsx]'Coastal N Reductions'!BI5", 34.724)</f>
        <v>34.723999999999997</v>
      </c>
      <c r="Y49" s="43">
        <f>HYPERLINK("[N Only with New retention and Differentiation.xlsx]'Coastal N Reductions'!BI5", 34.724)</f>
        <v>34.723999999999997</v>
      </c>
      <c r="Z49" s="41">
        <f>X49-W49</f>
        <v>0.61999999999999744</v>
      </c>
      <c r="AA49" s="41">
        <f>Y49-W49</f>
        <v>0.61999999999999744</v>
      </c>
      <c r="AB49" s="13"/>
      <c r="AC49" s="13"/>
      <c r="AD49" s="13"/>
      <c r="AE49" s="13"/>
      <c r="AF49" s="13"/>
      <c r="AG49" s="43">
        <f>HYPERLINK("[N Only Old retention.xlsx]'Coastal N Reductions'!BH5", 64.164)</f>
        <v>64.164000000000001</v>
      </c>
      <c r="AH49" s="43">
        <f>HYPERLINK("[N Only New retention.xlsx]'Coastal N Reductions'!BH5", 56.364)</f>
        <v>56.363999999999997</v>
      </c>
      <c r="AI49" s="43">
        <f>HYPERLINK("[N Only with New retention and Differentiation.xlsx]'Coastal N Reductions'!BH5", 56.364)</f>
        <v>56.363999999999997</v>
      </c>
      <c r="AJ49" s="42">
        <f>AH49-AG49</f>
        <v>-7.8000000000000043</v>
      </c>
      <c r="AK49" s="42">
        <f>AI49-AG49</f>
        <v>-7.8000000000000043</v>
      </c>
      <c r="AL49" s="43">
        <f>HYPERLINK("[N Only Old retention.xlsx]'Coastal N Reductions'!AZ5", 465.8304)</f>
        <v>465.8304</v>
      </c>
      <c r="AM49" s="43">
        <f>HYPERLINK("[N Only New retention.xlsx]'Coastal N Reductions'!AZ5", 452.9016)</f>
        <v>452.90159999999997</v>
      </c>
      <c r="AN49" s="43">
        <f>HYPERLINK("[N Only with New retention and Differentiation.xlsx]'Coastal N Reductions'!AZ5", 458.883)</f>
        <v>458.88299999999998</v>
      </c>
      <c r="AO49" s="42">
        <f>AM49-AL49</f>
        <v>-12.928800000000024</v>
      </c>
      <c r="AP49" s="42">
        <f>AN49-AL49</f>
        <v>-6.947400000000016</v>
      </c>
      <c r="AQ49" s="43">
        <f>HYPERLINK("[N Only Old retention.xlsx]'Coastal N Reductions'!BE5", 0.156)</f>
        <v>0.156</v>
      </c>
      <c r="AR49" s="43">
        <f>HYPERLINK("[N Only New retention.xlsx]'Coastal N Reductions'!BE5", 0.048)</f>
        <v>4.8000000000000001E-2</v>
      </c>
      <c r="AS49" s="43">
        <f>HYPERLINK("[N Only with New retention and Differentiation.xlsx]'Coastal N Reductions'!BE5", 0.048)</f>
        <v>4.8000000000000001E-2</v>
      </c>
      <c r="AT49" s="42">
        <f>AR49-AQ49</f>
        <v>-0.108</v>
      </c>
      <c r="AU49" s="42">
        <f>AS49-AQ49</f>
        <v>-0.108</v>
      </c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</row>
    <row r="50" spans="1:62" x14ac:dyDescent="0.55000000000000004">
      <c r="A50" s="30">
        <v>104</v>
      </c>
      <c r="B50" s="6" t="s">
        <v>198</v>
      </c>
      <c r="C50" s="40">
        <f>HYPERLINK("[N Only Old retention.xlsx]'Coastal N Reductions'!BD6", 250.186)</f>
        <v>250.18600000000001</v>
      </c>
      <c r="D50" s="40">
        <f>HYPERLINK("[N Only New retention.xlsx]'Coastal N Reductions'!BD6", 284.046)</f>
        <v>284.04599999999999</v>
      </c>
      <c r="E50" s="40">
        <f>HYPERLINK("[N Only with New retention and Differentiation.xlsx]'Coastal N Reductions'!BD6", 284.046)</f>
        <v>284.04599999999999</v>
      </c>
      <c r="F50" s="41">
        <f>D50-C50</f>
        <v>33.859999999999985</v>
      </c>
      <c r="G50" s="41">
        <f>E50-C50</f>
        <v>33.859999999999985</v>
      </c>
      <c r="H50" s="40">
        <f>HYPERLINK("[N Only Old retention.xlsx]'Coastal N Reductions'!AV6", 152.156)</f>
        <v>152.15600000000001</v>
      </c>
      <c r="I50" s="40">
        <f>HYPERLINK("[N Only New retention.xlsx]'Coastal N Reductions'!AV6", 135.474)</f>
        <v>135.47399999999999</v>
      </c>
      <c r="J50" s="40">
        <f>HYPERLINK("[N Only with New retention and Differentiation.xlsx]'Coastal N Reductions'!AV6", 135.474)</f>
        <v>135.47399999999999</v>
      </c>
      <c r="K50" s="42">
        <f>I50-H50</f>
        <v>-16.682000000000016</v>
      </c>
      <c r="L50" s="42">
        <f>J50-H50</f>
        <v>-16.682000000000016</v>
      </c>
      <c r="M50" s="40">
        <f>HYPERLINK("[N Only Old retention.xlsx]'Coastal N Reductions'!AX6", 318.154)</f>
        <v>318.154</v>
      </c>
      <c r="N50" s="40">
        <f>HYPERLINK("[N Only New retention.xlsx]'Coastal N Reductions'!AX6", 323.094)</f>
        <v>323.09399999999999</v>
      </c>
      <c r="O50" s="40">
        <f>HYPERLINK("[N Only with New retention and Differentiation.xlsx]'Coastal N Reductions'!AX6", 323.094)</f>
        <v>323.09399999999999</v>
      </c>
      <c r="P50" s="41">
        <f>N50-M50</f>
        <v>4.9399999999999977</v>
      </c>
      <c r="Q50" s="41">
        <f>O50-M50</f>
        <v>4.9399999999999977</v>
      </c>
      <c r="R50" s="18"/>
      <c r="S50" s="40">
        <f>HYPERLINK("[N Only New retention.xlsx]'Coastal N Reductions'!BF6", 15.67)</f>
        <v>15.67</v>
      </c>
      <c r="T50" s="40">
        <f>HYPERLINK("[N Only with New retention and Differentiation.xlsx]'Coastal N Reductions'!BF6", 15.67)</f>
        <v>15.67</v>
      </c>
      <c r="U50" s="41">
        <f>S50-R50</f>
        <v>15.67</v>
      </c>
      <c r="V50" s="41">
        <f>T50-R50</f>
        <v>15.67</v>
      </c>
      <c r="W50" s="40">
        <f>HYPERLINK("[N Only Old retention.xlsx]'Coastal N Reductions'!BI6", 7.74200000000001)</f>
        <v>7.7420000000000098</v>
      </c>
      <c r="X50" s="40">
        <f>HYPERLINK("[N Only New retention.xlsx]'Coastal N Reductions'!BI6", 8.39200000000001)</f>
        <v>8.3920000000000101</v>
      </c>
      <c r="Y50" s="40">
        <f>HYPERLINK("[N Only with New retention and Differentiation.xlsx]'Coastal N Reductions'!BI6", 8.39200000000001)</f>
        <v>8.3920000000000101</v>
      </c>
      <c r="Z50" s="41">
        <f>X50-W50</f>
        <v>0.65000000000000036</v>
      </c>
      <c r="AA50" s="41">
        <f>Y50-W50</f>
        <v>0.65000000000000036</v>
      </c>
      <c r="AB50" s="26">
        <f>HYPERLINK("[N Only Old retention.xlsx]'Coastal N Reductions'!BS6", 1200)</f>
        <v>1200</v>
      </c>
      <c r="AC50" s="26">
        <f>HYPERLINK("[N Only New retention.xlsx]'Coastal N Reductions'!BS6", 2300)</f>
        <v>2300</v>
      </c>
      <c r="AD50" s="26">
        <f>HYPERLINK("[N Only with New retention and Differentiation.xlsx]'Coastal N Reductions'!BS6", 2300)</f>
        <v>2300</v>
      </c>
      <c r="AE50" s="16">
        <f>AC50-AB50</f>
        <v>1100</v>
      </c>
      <c r="AF50" s="16">
        <f>AD50-AB50</f>
        <v>1100</v>
      </c>
      <c r="AG50" s="40">
        <f>HYPERLINK("[N Only Old retention.xlsx]'Coastal N Reductions'!BH6", 18.57)</f>
        <v>18.57</v>
      </c>
      <c r="AH50" s="40">
        <f>HYPERLINK("[N Only New retention.xlsx]'Coastal N Reductions'!BH6", 22.132)</f>
        <v>22.132000000000001</v>
      </c>
      <c r="AI50" s="40">
        <f>HYPERLINK("[N Only with New retention and Differentiation.xlsx]'Coastal N Reductions'!BH6", 22.132)</f>
        <v>22.132000000000001</v>
      </c>
      <c r="AJ50" s="41">
        <f>AH50-AG50</f>
        <v>3.5620000000000012</v>
      </c>
      <c r="AK50" s="41">
        <f>AI50-AG50</f>
        <v>3.5620000000000012</v>
      </c>
      <c r="AL50" s="40">
        <f>HYPERLINK("[N Only Old retention.xlsx]'Coastal N Reductions'!AZ6", 286.2534)</f>
        <v>286.2534</v>
      </c>
      <c r="AM50" s="40">
        <f>HYPERLINK("[N Only New retention.xlsx]'Coastal N Reductions'!AZ6", 244.1442)</f>
        <v>244.14420000000001</v>
      </c>
      <c r="AN50" s="40">
        <f>HYPERLINK("[N Only with New retention and Differentiation.xlsx]'Coastal N Reductions'!AZ6", 244.3722)</f>
        <v>244.37219999999999</v>
      </c>
      <c r="AO50" s="42">
        <f>AM50-AL50</f>
        <v>-42.109199999999987</v>
      </c>
      <c r="AP50" s="42">
        <f>AN50-AL50</f>
        <v>-41.881200000000007</v>
      </c>
      <c r="AQ50" s="18"/>
      <c r="AR50" s="40">
        <f>HYPERLINK("[N Only New retention.xlsx]'Coastal N Reductions'!BE6", 2.834)</f>
        <v>2.8340000000000001</v>
      </c>
      <c r="AS50" s="40">
        <f>HYPERLINK("[N Only with New retention and Differentiation.xlsx]'Coastal N Reductions'!BE6", 2.834)</f>
        <v>2.8340000000000001</v>
      </c>
      <c r="AT50" s="41">
        <f>AR50-AQ50</f>
        <v>2.8340000000000001</v>
      </c>
      <c r="AU50" s="41">
        <f>AS50-AQ50</f>
        <v>2.8340000000000001</v>
      </c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</row>
    <row r="51" spans="1:62" x14ac:dyDescent="0.55000000000000004">
      <c r="A51" s="31">
        <v>105</v>
      </c>
      <c r="B51" s="5" t="s">
        <v>199</v>
      </c>
      <c r="C51" s="43">
        <f>HYPERLINK("[N Only Old retention.xlsx]'Coastal N Reductions'!BD7", 525.3)</f>
        <v>525.29999999999995</v>
      </c>
      <c r="D51" s="43">
        <f>HYPERLINK("[N Only New retention.xlsx]'Coastal N Reductions'!BD7", 538.429999999955)</f>
        <v>538.42999999995504</v>
      </c>
      <c r="E51" s="43">
        <f>HYPERLINK("[N Only with New retention and Differentiation.xlsx]'Coastal N Reductions'!BD7", 522.5)</f>
        <v>522.5</v>
      </c>
      <c r="F51" s="41">
        <f>D51-C51</f>
        <v>13.129999999955089</v>
      </c>
      <c r="G51" s="42">
        <f>E51-C51</f>
        <v>-2.7999999999999545</v>
      </c>
      <c r="H51" s="43">
        <f>HYPERLINK("[N Only Old retention.xlsx]'Coastal N Reductions'!AV7", 374.736)</f>
        <v>374.73599999999999</v>
      </c>
      <c r="I51" s="43">
        <f>HYPERLINK("[N Only New retention.xlsx]'Coastal N Reductions'!AV7", 360.374)</f>
        <v>360.37400000000002</v>
      </c>
      <c r="J51" s="43">
        <f>HYPERLINK("[N Only with New retention and Differentiation.xlsx]'Coastal N Reductions'!AV7", 358.68)</f>
        <v>358.68</v>
      </c>
      <c r="K51" s="42">
        <f>I51-H51</f>
        <v>-14.361999999999966</v>
      </c>
      <c r="L51" s="42">
        <f>J51-H51</f>
        <v>-16.055999999999983</v>
      </c>
      <c r="M51" s="43">
        <f>HYPERLINK("[N Only Old retention.xlsx]'Coastal N Reductions'!AX7", 535.513999999847)</f>
        <v>535.51399999984699</v>
      </c>
      <c r="N51" s="43">
        <f>HYPERLINK("[N Only New retention.xlsx]'Coastal N Reductions'!AX7", 417.143999999907)</f>
        <v>417.14399999990701</v>
      </c>
      <c r="O51" s="43">
        <f>HYPERLINK("[N Only with New retention and Differentiation.xlsx]'Coastal N Reductions'!AX7", 412.574)</f>
        <v>412.57400000000001</v>
      </c>
      <c r="P51" s="42">
        <f>N51-M51</f>
        <v>-118.36999999993998</v>
      </c>
      <c r="Q51" s="42">
        <f>O51-M51</f>
        <v>-122.93999999984698</v>
      </c>
      <c r="R51" s="43">
        <f>HYPERLINK("[N Only Old retention.xlsx]'Coastal N Reductions'!BF7", 87.59)</f>
        <v>87.59</v>
      </c>
      <c r="S51" s="43">
        <f>HYPERLINK("[N Only New retention.xlsx]'Coastal N Reductions'!BF7", 87.59)</f>
        <v>87.59</v>
      </c>
      <c r="T51" s="43">
        <f>HYPERLINK("[N Only with New retention and Differentiation.xlsx]'Coastal N Reductions'!BF7", 103.52)</f>
        <v>103.52</v>
      </c>
      <c r="U51" s="13"/>
      <c r="V51" s="41">
        <f>T51-R51</f>
        <v>15.929999999999993</v>
      </c>
      <c r="W51" s="43">
        <f>HYPERLINK("[N Only Old retention.xlsx]'Coastal N Reductions'!BI7", 46.4199999999947)</f>
        <v>46.419999999994701</v>
      </c>
      <c r="X51" s="43">
        <f>HYPERLINK("[N Only New retention.xlsx]'Coastal N Reductions'!BI7", 46.56)</f>
        <v>46.56</v>
      </c>
      <c r="Y51" s="43">
        <f>HYPERLINK("[N Only with New retention and Differentiation.xlsx]'Coastal N Reductions'!BI7", 46.56)</f>
        <v>46.56</v>
      </c>
      <c r="Z51" s="41">
        <f>X51-W51</f>
        <v>0.14000000000530122</v>
      </c>
      <c r="AA51" s="41">
        <f>Y51-W51</f>
        <v>0.14000000000530122</v>
      </c>
      <c r="AB51" s="28">
        <f>HYPERLINK("[N Only Old retention.xlsx]'Coastal N Reductions'!BS7", 100)</f>
        <v>100</v>
      </c>
      <c r="AC51" s="28">
        <f>HYPERLINK("[N Only New retention.xlsx]'Coastal N Reductions'!BS7", 1900)</f>
        <v>1900</v>
      </c>
      <c r="AD51" s="28">
        <f>HYPERLINK("[N Only with New retention and Differentiation.xlsx]'Coastal N Reductions'!BS7", 1900)</f>
        <v>1900</v>
      </c>
      <c r="AE51" s="16">
        <f>AC51-AB51</f>
        <v>1800</v>
      </c>
      <c r="AF51" s="16">
        <f>AD51-AB51</f>
        <v>1800</v>
      </c>
      <c r="AG51" s="43">
        <f>HYPERLINK("[N Only Old retention.xlsx]'Coastal N Reductions'!BH7", 55.0999999999591)</f>
        <v>55.099999999959103</v>
      </c>
      <c r="AH51" s="43">
        <f>HYPERLINK("[N Only New retention.xlsx]'Coastal N Reductions'!BH7", 61.52)</f>
        <v>61.52</v>
      </c>
      <c r="AI51" s="43">
        <f>HYPERLINK("[N Only with New retention and Differentiation.xlsx]'Coastal N Reductions'!BH7", 61.56)</f>
        <v>61.56</v>
      </c>
      <c r="AJ51" s="41">
        <f>AH51-AG51</f>
        <v>6.4200000000409005</v>
      </c>
      <c r="AK51" s="41">
        <f>AI51-AG51</f>
        <v>6.4600000000408997</v>
      </c>
      <c r="AL51" s="43">
        <f>HYPERLINK("[N Only Old retention.xlsx]'Coastal N Reductions'!AZ7", 407.376599999762)</f>
        <v>407.37659999976199</v>
      </c>
      <c r="AM51" s="43">
        <f>HYPERLINK("[N Only New retention.xlsx]'Coastal N Reductions'!AZ7", 411.0972)</f>
        <v>411.09719999999999</v>
      </c>
      <c r="AN51" s="43">
        <f>HYPERLINK("[N Only with New retention and Differentiation.xlsx]'Coastal N Reductions'!AZ7", 413.7606)</f>
        <v>413.76060000000001</v>
      </c>
      <c r="AO51" s="41">
        <f>AM51-AL51</f>
        <v>3.7206000002379938</v>
      </c>
      <c r="AP51" s="41">
        <f>AN51-AL51</f>
        <v>6.3840000002380179</v>
      </c>
      <c r="AQ51" s="43">
        <f>HYPERLINK("[N Only Old retention.xlsx]'Coastal N Reductions'!BE7", 0.2)</f>
        <v>0.2</v>
      </c>
      <c r="AR51" s="43">
        <f>HYPERLINK("[N Only New retention.xlsx]'Coastal N Reductions'!BE7", 4.834)</f>
        <v>4.8339999999999996</v>
      </c>
      <c r="AS51" s="43">
        <f>HYPERLINK("[N Only with New retention and Differentiation.xlsx]'Coastal N Reductions'!BE7", 5.00399999997501)</f>
        <v>5.0039999999750098</v>
      </c>
      <c r="AT51" s="41">
        <f>AR51-AQ51</f>
        <v>4.6339999999999995</v>
      </c>
      <c r="AU51" s="41">
        <f>AS51-AQ51</f>
        <v>4.8039999999750096</v>
      </c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</row>
    <row r="52" spans="1:62" x14ac:dyDescent="0.55000000000000004">
      <c r="A52" s="30">
        <v>106</v>
      </c>
      <c r="B52" s="6" t="s">
        <v>200</v>
      </c>
      <c r="C52" s="40">
        <f>HYPERLINK("[N Only Old retention.xlsx]'Coastal N Reductions'!BD8", 1410.97599999983)</f>
        <v>1410.97599999983</v>
      </c>
      <c r="D52" s="40">
        <f>HYPERLINK("[N Only New retention.xlsx]'Coastal N Reductions'!BD8", 1310.402)</f>
        <v>1310.402</v>
      </c>
      <c r="E52" s="40">
        <f>HYPERLINK("[N Only with New retention and Differentiation.xlsx]'Coastal N Reductions'!BD8", 1291.17199999992)</f>
        <v>1291.17199999992</v>
      </c>
      <c r="F52" s="42">
        <f>D52-C52</f>
        <v>-100.57399999982999</v>
      </c>
      <c r="G52" s="42">
        <f>E52-C52</f>
        <v>-119.80399999991005</v>
      </c>
      <c r="H52" s="40">
        <f>HYPERLINK("[N Only Old retention.xlsx]'Coastal N Reductions'!AV8", 845.691999999855)</f>
        <v>845.69199999985506</v>
      </c>
      <c r="I52" s="40">
        <f>HYPERLINK("[N Only New retention.xlsx]'Coastal N Reductions'!AV8", 825.574)</f>
        <v>825.57399999999996</v>
      </c>
      <c r="J52" s="40">
        <f>HYPERLINK("[N Only with New retention and Differentiation.xlsx]'Coastal N Reductions'!AV8", 831.536)</f>
        <v>831.53599999999994</v>
      </c>
      <c r="K52" s="42">
        <f>I52-H52</f>
        <v>-20.117999999855101</v>
      </c>
      <c r="L52" s="42">
        <f>J52-H52</f>
        <v>-14.155999999855112</v>
      </c>
      <c r="M52" s="40">
        <f>HYPERLINK("[N Only Old retention.xlsx]'Coastal N Reductions'!AX8", 1043.03799999978)</f>
        <v>1043.0379999997799</v>
      </c>
      <c r="N52" s="40">
        <f>HYPERLINK("[N Only New retention.xlsx]'Coastal N Reductions'!AX8", 1249.514)</f>
        <v>1249.5139999999999</v>
      </c>
      <c r="O52" s="40">
        <f>HYPERLINK("[N Only with New retention and Differentiation.xlsx]'Coastal N Reductions'!AX8", 1251.394)</f>
        <v>1251.394</v>
      </c>
      <c r="P52" s="41">
        <f>N52-M52</f>
        <v>206.47600000021998</v>
      </c>
      <c r="Q52" s="41">
        <f>O52-M52</f>
        <v>208.35600000022009</v>
      </c>
      <c r="R52" s="40">
        <f>HYPERLINK("[N Only Old retention.xlsx]'Coastal N Reductions'!BF8", 348)</f>
        <v>348</v>
      </c>
      <c r="S52" s="40">
        <f>HYPERLINK("[N Only New retention.xlsx]'Coastal N Reductions'!BF8", 393.34)</f>
        <v>393.34</v>
      </c>
      <c r="T52" s="40">
        <f>HYPERLINK("[N Only with New retention and Differentiation.xlsx]'Coastal N Reductions'!BF8", 393.656)</f>
        <v>393.65600000000001</v>
      </c>
      <c r="U52" s="41">
        <f>S52-R52</f>
        <v>45.339999999999975</v>
      </c>
      <c r="V52" s="41">
        <f>T52-R52</f>
        <v>45.656000000000006</v>
      </c>
      <c r="W52" s="40">
        <f>HYPERLINK("[N Only Old retention.xlsx]'Coastal N Reductions'!BI8", 54.3639999999948)</f>
        <v>54.363999999994803</v>
      </c>
      <c r="X52" s="40">
        <f>HYPERLINK("[N Only New retention.xlsx]'Coastal N Reductions'!BI8", 54.804)</f>
        <v>54.804000000000002</v>
      </c>
      <c r="Y52" s="40">
        <f>HYPERLINK("[N Only with New retention and Differentiation.xlsx]'Coastal N Reductions'!BI8", 54.804)</f>
        <v>54.804000000000002</v>
      </c>
      <c r="Z52" s="41">
        <f>X52-W52</f>
        <v>0.4400000000051989</v>
      </c>
      <c r="AA52" s="41">
        <f>Y52-W52</f>
        <v>0.4400000000051989</v>
      </c>
      <c r="AB52" s="18"/>
      <c r="AC52" s="26">
        <f>HYPERLINK("[N Only New retention.xlsx]'Coastal N Reductions'!BS8", 2900)</f>
        <v>2900</v>
      </c>
      <c r="AD52" s="26">
        <f>HYPERLINK("[N Only with New retention and Differentiation.xlsx]'Coastal N Reductions'!BS8", 3000)</f>
        <v>3000</v>
      </c>
      <c r="AE52" s="16">
        <f>AC52-AB52</f>
        <v>2900</v>
      </c>
      <c r="AF52" s="16">
        <f>AD52-AB52</f>
        <v>3000</v>
      </c>
      <c r="AG52" s="40">
        <f>HYPERLINK("[N Only Old retention.xlsx]'Coastal N Reductions'!BH8", 75.8519999999842)</f>
        <v>75.851999999984201</v>
      </c>
      <c r="AH52" s="40">
        <f>HYPERLINK("[N Only New retention.xlsx]'Coastal N Reductions'!BH8", 101.509999999973)</f>
        <v>101.509999999973</v>
      </c>
      <c r="AI52" s="40">
        <f>HYPERLINK("[N Only with New retention and Differentiation.xlsx]'Coastal N Reductions'!BH8", 99.88)</f>
        <v>99.88</v>
      </c>
      <c r="AJ52" s="41">
        <f>AH52-AG52</f>
        <v>25.657999999988803</v>
      </c>
      <c r="AK52" s="41">
        <f>AI52-AG52</f>
        <v>24.028000000015794</v>
      </c>
      <c r="AL52" s="40">
        <f>HYPERLINK("[N Only Old retention.xlsx]'Coastal N Reductions'!AZ8", 452.659199999769)</f>
        <v>452.65919999976899</v>
      </c>
      <c r="AM52" s="40">
        <f>HYPERLINK("[N Only New retention.xlsx]'Coastal N Reductions'!AZ8", 420.9678)</f>
        <v>420.96780000000001</v>
      </c>
      <c r="AN52" s="40">
        <f>HYPERLINK("[N Only with New retention and Differentiation.xlsx]'Coastal N Reductions'!AZ8", 424.6734)</f>
        <v>424.67340000000002</v>
      </c>
      <c r="AO52" s="42">
        <f>AM52-AL52</f>
        <v>-31.691399999768976</v>
      </c>
      <c r="AP52" s="42">
        <f>AN52-AL52</f>
        <v>-27.985799999768972</v>
      </c>
      <c r="AQ52" s="40">
        <f>HYPERLINK("[N Only Old retention.xlsx]'Coastal N Reductions'!BE8", 1.63)</f>
        <v>1.63</v>
      </c>
      <c r="AR52" s="40">
        <f>HYPERLINK("[N Only New retention.xlsx]'Coastal N Reductions'!BE8", 6.806)</f>
        <v>6.806</v>
      </c>
      <c r="AS52" s="40">
        <f>HYPERLINK("[N Only with New retention and Differentiation.xlsx]'Coastal N Reductions'!BE8", 6.806)</f>
        <v>6.806</v>
      </c>
      <c r="AT52" s="41">
        <f>AR52-AQ52</f>
        <v>5.1760000000000002</v>
      </c>
      <c r="AU52" s="41">
        <f>AS52-AQ52</f>
        <v>5.1760000000000002</v>
      </c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</row>
    <row r="53" spans="1:62" x14ac:dyDescent="0.55000000000000004">
      <c r="A53" s="31">
        <v>107</v>
      </c>
      <c r="B53" s="5" t="s">
        <v>201</v>
      </c>
      <c r="C53" s="13"/>
      <c r="D53" s="13"/>
      <c r="E53" s="13"/>
      <c r="F53" s="13"/>
      <c r="G53" s="13"/>
      <c r="H53" s="43">
        <f>HYPERLINK("[N Only Old retention.xlsx]'Coastal N Reductions'!AV9", 58.27)</f>
        <v>58.27</v>
      </c>
      <c r="I53" s="43">
        <f>HYPERLINK("[N Only New retention.xlsx]'Coastal N Reductions'!AV9", 389.32)</f>
        <v>389.32</v>
      </c>
      <c r="J53" s="43">
        <f>HYPERLINK("[N Only with New retention and Differentiation.xlsx]'Coastal N Reductions'!AV9", 389.32)</f>
        <v>389.32</v>
      </c>
      <c r="K53" s="41">
        <f>I53-H53</f>
        <v>331.05</v>
      </c>
      <c r="L53" s="41">
        <f>J53-H53</f>
        <v>331.05</v>
      </c>
      <c r="M53" s="43">
        <f>HYPERLINK("[N Only Old retention.xlsx]'Coastal N Reductions'!AX9", 3.42)</f>
        <v>3.42</v>
      </c>
      <c r="N53" s="43">
        <f>HYPERLINK("[N Only New retention.xlsx]'Coastal N Reductions'!AX9", 17.3)</f>
        <v>17.3</v>
      </c>
      <c r="O53" s="43">
        <f>HYPERLINK("[N Only with New retention and Differentiation.xlsx]'Coastal N Reductions'!AX9", 17.3)</f>
        <v>17.3</v>
      </c>
      <c r="P53" s="41">
        <f>N53-M53</f>
        <v>13.88</v>
      </c>
      <c r="Q53" s="41">
        <f>O53-M53</f>
        <v>13.88</v>
      </c>
      <c r="R53" s="43">
        <f>HYPERLINK("[N Only Old retention.xlsx]'Coastal N Reductions'!BF9", 118.79)</f>
        <v>118.79</v>
      </c>
      <c r="S53" s="43">
        <f>HYPERLINK("[N Only New retention.xlsx]'Coastal N Reductions'!BF9", 318.48)</f>
        <v>318.48</v>
      </c>
      <c r="T53" s="43">
        <f>HYPERLINK("[N Only with New retention and Differentiation.xlsx]'Coastal N Reductions'!BF9", 289.8)</f>
        <v>289.8</v>
      </c>
      <c r="U53" s="41">
        <f>S53-R53</f>
        <v>199.69</v>
      </c>
      <c r="V53" s="41">
        <f>T53-R53</f>
        <v>171.01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43">
        <f>HYPERLINK("[N Only Old retention.xlsx]'Coastal N Reductions'!BH9", 931.031677734375)</f>
        <v>931.03167773437497</v>
      </c>
      <c r="AH53" s="43">
        <f>HYPERLINK("[N Only New retention.xlsx]'Coastal N Reductions'!BH9", 769.398289979273)</f>
        <v>769.39828997927304</v>
      </c>
      <c r="AI53" s="43">
        <f>HYPERLINK("[N Only with New retention and Differentiation.xlsx]'Coastal N Reductions'!BH9", 784.436289979273)</f>
        <v>784.43628997927306</v>
      </c>
      <c r="AJ53" s="42">
        <f>AH53-AG53</f>
        <v>-161.63338775510192</v>
      </c>
      <c r="AK53" s="42">
        <f>AI53-AG53</f>
        <v>-146.59538775510191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</row>
    <row r="54" spans="1:62" x14ac:dyDescent="0.55000000000000004">
      <c r="A54" s="30">
        <v>108</v>
      </c>
      <c r="B54" s="6" t="s">
        <v>202</v>
      </c>
      <c r="C54" s="40">
        <f>HYPERLINK("[N Only Old retention.xlsx]'Coastal N Reductions'!BD10", 588.006000000008)</f>
        <v>588.00600000000804</v>
      </c>
      <c r="D54" s="40">
        <f>HYPERLINK("[N Only New retention.xlsx]'Coastal N Reductions'!BD10", 465.466)</f>
        <v>465.46600000000001</v>
      </c>
      <c r="E54" s="40">
        <f>HYPERLINK("[N Only with New retention and Differentiation.xlsx]'Coastal N Reductions'!BD10", 493.555999999885)</f>
        <v>493.55599999988499</v>
      </c>
      <c r="F54" s="42">
        <f>D54-C54</f>
        <v>-122.54000000000804</v>
      </c>
      <c r="G54" s="42">
        <f>E54-C54</f>
        <v>-94.450000000123055</v>
      </c>
      <c r="H54" s="40">
        <f>HYPERLINK("[N Only Old retention.xlsx]'Coastal N Reductions'!AV10", 242.045999999833)</f>
        <v>242.04599999983299</v>
      </c>
      <c r="I54" s="40">
        <f>HYPERLINK("[N Only New retention.xlsx]'Coastal N Reductions'!AV10", 329.756)</f>
        <v>329.75599999999997</v>
      </c>
      <c r="J54" s="40">
        <f>HYPERLINK("[N Only with New retention and Differentiation.xlsx]'Coastal N Reductions'!AV10", 321.25)</f>
        <v>321.25</v>
      </c>
      <c r="K54" s="41">
        <f>I54-H54</f>
        <v>87.710000000166986</v>
      </c>
      <c r="L54" s="41">
        <f>J54-H54</f>
        <v>79.204000000167014</v>
      </c>
      <c r="M54" s="40">
        <f>HYPERLINK("[N Only Old retention.xlsx]'Coastal N Reductions'!AX10", 293.646)</f>
        <v>293.64600000000002</v>
      </c>
      <c r="N54" s="40">
        <f>HYPERLINK("[N Only New retention.xlsx]'Coastal N Reductions'!AX10", 383.186)</f>
        <v>383.18599999999998</v>
      </c>
      <c r="O54" s="40">
        <f>HYPERLINK("[N Only with New retention and Differentiation.xlsx]'Coastal N Reductions'!AX10", 377.446)</f>
        <v>377.44600000000003</v>
      </c>
      <c r="P54" s="41">
        <f>N54-M54</f>
        <v>89.539999999999964</v>
      </c>
      <c r="Q54" s="41">
        <f>O54-M54</f>
        <v>83.800000000000011</v>
      </c>
      <c r="R54" s="40">
        <f>HYPERLINK("[N Only Old retention.xlsx]'Coastal N Reductions'!BF10", 96.23)</f>
        <v>96.23</v>
      </c>
      <c r="S54" s="40">
        <f>HYPERLINK("[N Only New retention.xlsx]'Coastal N Reductions'!BF10", 96.2299999999594)</f>
        <v>96.229999999959404</v>
      </c>
      <c r="T54" s="40">
        <f>HYPERLINK("[N Only with New retention and Differentiation.xlsx]'Coastal N Reductions'!BF10", 72.96)</f>
        <v>72.959999999999994</v>
      </c>
      <c r="U54" s="42">
        <f>S54-R54</f>
        <v>-4.0600411921332125E-11</v>
      </c>
      <c r="V54" s="42">
        <f>T54-R54</f>
        <v>-23.27000000000001</v>
      </c>
      <c r="W54" s="40">
        <f>HYPERLINK("[N Only Old retention.xlsx]'Coastal N Reductions'!BI10", 15.4979999999947)</f>
        <v>15.4979999999947</v>
      </c>
      <c r="X54" s="40">
        <f>HYPERLINK("[N Only New retention.xlsx]'Coastal N Reductions'!BI10", 16.338)</f>
        <v>16.338000000000001</v>
      </c>
      <c r="Y54" s="40">
        <f>HYPERLINK("[N Only with New retention and Differentiation.xlsx]'Coastal N Reductions'!BI10", 16.338)</f>
        <v>16.338000000000001</v>
      </c>
      <c r="Z54" s="41">
        <f>X54-W54</f>
        <v>0.84000000000530051</v>
      </c>
      <c r="AA54" s="41">
        <f>Y54-W54</f>
        <v>0.84000000000530051</v>
      </c>
      <c r="AB54" s="18"/>
      <c r="AC54" s="26">
        <f>HYPERLINK("[N Only New retention.xlsx]'Coastal N Reductions'!BS10", 2000)</f>
        <v>2000</v>
      </c>
      <c r="AD54" s="26">
        <f>HYPERLINK("[N Only with New retention and Differentiation.xlsx]'Coastal N Reductions'!BS10", 2000)</f>
        <v>2000</v>
      </c>
      <c r="AE54" s="16">
        <f>AC54-AB54</f>
        <v>2000</v>
      </c>
      <c r="AF54" s="16">
        <f>AD54-AB54</f>
        <v>2000</v>
      </c>
      <c r="AG54" s="40">
        <f>HYPERLINK("[N Only Old retention.xlsx]'Coastal N Reductions'!BH10", 21.924)</f>
        <v>21.923999999999999</v>
      </c>
      <c r="AH54" s="40">
        <f>HYPERLINK("[N Only New retention.xlsx]'Coastal N Reductions'!BH10", 27.678)</f>
        <v>27.678000000000001</v>
      </c>
      <c r="AI54" s="40">
        <f>HYPERLINK("[N Only with New retention and Differentiation.xlsx]'Coastal N Reductions'!BH10", 27.678)</f>
        <v>27.678000000000001</v>
      </c>
      <c r="AJ54" s="41">
        <f>AH54-AG54</f>
        <v>5.7540000000000013</v>
      </c>
      <c r="AK54" s="41">
        <f>AI54-AG54</f>
        <v>5.7540000000000013</v>
      </c>
      <c r="AL54" s="40">
        <f>HYPERLINK("[N Only Old retention.xlsx]'Coastal N Reductions'!AZ10", 121.4076)</f>
        <v>121.4076</v>
      </c>
      <c r="AM54" s="40">
        <f>HYPERLINK("[N Only New retention.xlsx]'Coastal N Reductions'!AZ10", 100.6992)</f>
        <v>100.6992</v>
      </c>
      <c r="AN54" s="40">
        <f>HYPERLINK("[N Only with New retention and Differentiation.xlsx]'Coastal N Reductions'!AZ10", 96.7782)</f>
        <v>96.778199999999998</v>
      </c>
      <c r="AO54" s="42">
        <f>AM54-AL54</f>
        <v>-20.708399999999997</v>
      </c>
      <c r="AP54" s="42">
        <f>AN54-AL54</f>
        <v>-24.629400000000004</v>
      </c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</row>
    <row r="55" spans="1:62" x14ac:dyDescent="0.55000000000000004">
      <c r="A55" s="31">
        <v>109</v>
      </c>
      <c r="B55" s="5" t="s">
        <v>203</v>
      </c>
      <c r="C55" s="43">
        <f>HYPERLINK("[N Only Old retention.xlsx]'Coastal N Reductions'!BD11", 1343.65799999998)</f>
        <v>1343.6579999999799</v>
      </c>
      <c r="D55" s="43">
        <f>HYPERLINK("[N Only New retention.xlsx]'Coastal N Reductions'!BD11", 1432.898)</f>
        <v>1432.8979999999999</v>
      </c>
      <c r="E55" s="43">
        <f>HYPERLINK("[N Only with New retention and Differentiation.xlsx]'Coastal N Reductions'!BD11", 1436.388)</f>
        <v>1436.3879999999999</v>
      </c>
      <c r="F55" s="41">
        <f>D55-C55</f>
        <v>89.240000000020018</v>
      </c>
      <c r="G55" s="41">
        <f>E55-C55</f>
        <v>92.730000000020027</v>
      </c>
      <c r="H55" s="43">
        <f>HYPERLINK("[N Only Old retention.xlsx]'Coastal N Reductions'!AV11", 493.956)</f>
        <v>493.95600000000002</v>
      </c>
      <c r="I55" s="43">
        <f>HYPERLINK("[N Only New retention.xlsx]'Coastal N Reductions'!AV11", 428.294)</f>
        <v>428.29399999999998</v>
      </c>
      <c r="J55" s="43">
        <f>HYPERLINK("[N Only with New retention and Differentiation.xlsx]'Coastal N Reductions'!AV11", 420.204)</f>
        <v>420.20400000000001</v>
      </c>
      <c r="K55" s="42">
        <f>I55-H55</f>
        <v>-65.662000000000035</v>
      </c>
      <c r="L55" s="42">
        <f>J55-H55</f>
        <v>-73.75200000000001</v>
      </c>
      <c r="M55" s="43">
        <f>HYPERLINK("[N Only Old retention.xlsx]'Coastal N Reductions'!AX11", 860.422)</f>
        <v>860.42200000000003</v>
      </c>
      <c r="N55" s="43">
        <f>HYPERLINK("[N Only New retention.xlsx]'Coastal N Reductions'!AX11", 1093.832)</f>
        <v>1093.8320000000001</v>
      </c>
      <c r="O55" s="43">
        <f>HYPERLINK("[N Only with New retention and Differentiation.xlsx]'Coastal N Reductions'!AX11", 1092.912)</f>
        <v>1092.912</v>
      </c>
      <c r="P55" s="41">
        <f>N55-M55</f>
        <v>233.41000000000008</v>
      </c>
      <c r="Q55" s="41">
        <f>O55-M55</f>
        <v>232.49</v>
      </c>
      <c r="R55" s="43">
        <f>HYPERLINK("[N Only Old retention.xlsx]'Coastal N Reductions'!BF11", 81.14)</f>
        <v>81.14</v>
      </c>
      <c r="S55" s="43">
        <f>HYPERLINK("[N Only New retention.xlsx]'Coastal N Reductions'!BF11", 110.49)</f>
        <v>110.49</v>
      </c>
      <c r="T55" s="43">
        <f>HYPERLINK("[N Only with New retention and Differentiation.xlsx]'Coastal N Reductions'!BF11", 110.49)</f>
        <v>110.49</v>
      </c>
      <c r="U55" s="41">
        <f>S55-R55</f>
        <v>29.349999999999994</v>
      </c>
      <c r="V55" s="41">
        <f>T55-R55</f>
        <v>29.349999999999994</v>
      </c>
      <c r="W55" s="43">
        <f>HYPERLINK("[N Only Old retention.xlsx]'Coastal N Reductions'!BI11", 22.288)</f>
        <v>22.288</v>
      </c>
      <c r="X55" s="43">
        <f>HYPERLINK("[N Only New retention.xlsx]'Coastal N Reductions'!BI11", 22.658)</f>
        <v>22.658000000000001</v>
      </c>
      <c r="Y55" s="43">
        <f>HYPERLINK("[N Only with New retention and Differentiation.xlsx]'Coastal N Reductions'!BI11", 22.658)</f>
        <v>22.658000000000001</v>
      </c>
      <c r="Z55" s="41">
        <f>X55-W55</f>
        <v>0.37000000000000099</v>
      </c>
      <c r="AA55" s="41">
        <f>Y55-W55</f>
        <v>0.37000000000000099</v>
      </c>
      <c r="AB55" s="13"/>
      <c r="AC55" s="28">
        <f>HYPERLINK("[N Only New retention.xlsx]'Coastal N Reductions'!BS11", 2800)</f>
        <v>2800</v>
      </c>
      <c r="AD55" s="28">
        <f>HYPERLINK("[N Only with New retention and Differentiation.xlsx]'Coastal N Reductions'!BS11", 2800)</f>
        <v>2800</v>
      </c>
      <c r="AE55" s="16">
        <f>AC55-AB55</f>
        <v>2800</v>
      </c>
      <c r="AF55" s="16">
        <f>AD55-AB55</f>
        <v>2800</v>
      </c>
      <c r="AG55" s="43">
        <f>HYPERLINK("[N Only Old retention.xlsx]'Coastal N Reductions'!BH11", 91.938)</f>
        <v>91.938000000000002</v>
      </c>
      <c r="AH55" s="43">
        <f>HYPERLINK("[N Only New retention.xlsx]'Coastal N Reductions'!BH11", 121.768)</f>
        <v>121.768</v>
      </c>
      <c r="AI55" s="43">
        <f>HYPERLINK("[N Only with New retention and Differentiation.xlsx]'Coastal N Reductions'!BH11", 121.768)</f>
        <v>121.768</v>
      </c>
      <c r="AJ55" s="41">
        <f>AH55-AG55</f>
        <v>29.83</v>
      </c>
      <c r="AK55" s="41">
        <f>AI55-AG55</f>
        <v>29.83</v>
      </c>
      <c r="AL55" s="43">
        <f>HYPERLINK("[N Only Old retention.xlsx]'Coastal N Reductions'!AZ11", 388.1646)</f>
        <v>388.16460000000001</v>
      </c>
      <c r="AM55" s="43">
        <f>HYPERLINK("[N Only New retention.xlsx]'Coastal N Reductions'!AZ11", 307.8924)</f>
        <v>307.89240000000001</v>
      </c>
      <c r="AN55" s="43">
        <f>HYPERLINK("[N Only with New retention and Differentiation.xlsx]'Coastal N Reductions'!AZ11", 307.8924)</f>
        <v>307.89240000000001</v>
      </c>
      <c r="AO55" s="42">
        <f>AM55-AL55</f>
        <v>-80.272199999999998</v>
      </c>
      <c r="AP55" s="42">
        <f>AN55-AL55</f>
        <v>-80.272199999999998</v>
      </c>
      <c r="AQ55" s="13"/>
      <c r="AR55" s="43">
        <f>HYPERLINK("[N Only New retention.xlsx]'Coastal N Reductions'!BE11", 3.932)</f>
        <v>3.9319999999999999</v>
      </c>
      <c r="AS55" s="43">
        <f>HYPERLINK("[N Only with New retention and Differentiation.xlsx]'Coastal N Reductions'!BE11", 3.932)</f>
        <v>3.9319999999999999</v>
      </c>
      <c r="AT55" s="41">
        <f>AR55-AQ55</f>
        <v>3.9319999999999999</v>
      </c>
      <c r="AU55" s="41">
        <f>AS55-AQ55</f>
        <v>3.9319999999999999</v>
      </c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</row>
    <row r="56" spans="1:62" x14ac:dyDescent="0.55000000000000004">
      <c r="A56" s="30">
        <v>110</v>
      </c>
      <c r="B56" s="6" t="s">
        <v>204</v>
      </c>
      <c r="C56" s="40">
        <f>HYPERLINK("[N Only Old retention.xlsx]'Coastal N Reductions'!BD12", 278.649999999959)</f>
        <v>278.64999999995899</v>
      </c>
      <c r="D56" s="40">
        <f>HYPERLINK("[N Only New retention.xlsx]'Coastal N Reductions'!BD12", 333.492)</f>
        <v>333.49200000000002</v>
      </c>
      <c r="E56" s="40">
        <f>HYPERLINK("[N Only with New retention and Differentiation.xlsx]'Coastal N Reductions'!BD12", 328.662)</f>
        <v>328.66199999999998</v>
      </c>
      <c r="F56" s="41">
        <f>D56-C56</f>
        <v>54.842000000041025</v>
      </c>
      <c r="G56" s="41">
        <f>E56-C56</f>
        <v>50.012000000040985</v>
      </c>
      <c r="H56" s="40">
        <f>HYPERLINK("[N Only Old retention.xlsx]'Coastal N Reductions'!AV12", 278.944)</f>
        <v>278.94400000000002</v>
      </c>
      <c r="I56" s="40">
        <f>HYPERLINK("[N Only New retention.xlsx]'Coastal N Reductions'!AV12", 261.318)</f>
        <v>261.31799999999998</v>
      </c>
      <c r="J56" s="40">
        <f>HYPERLINK("[N Only with New retention and Differentiation.xlsx]'Coastal N Reductions'!AV12", 272.382)</f>
        <v>272.38200000000001</v>
      </c>
      <c r="K56" s="42">
        <f>I56-H56</f>
        <v>-17.626000000000033</v>
      </c>
      <c r="L56" s="42">
        <f>J56-H56</f>
        <v>-6.5620000000000118</v>
      </c>
      <c r="M56" s="40">
        <f>HYPERLINK("[N Only Old retention.xlsx]'Coastal N Reductions'!AX12", 400.12599999988)</f>
        <v>400.12599999987998</v>
      </c>
      <c r="N56" s="40">
        <f>HYPERLINK("[N Only New retention.xlsx]'Coastal N Reductions'!AX12", 272.89)</f>
        <v>272.89</v>
      </c>
      <c r="O56" s="40">
        <f>HYPERLINK("[N Only with New retention and Differentiation.xlsx]'Coastal N Reductions'!AX12", 272.89)</f>
        <v>272.89</v>
      </c>
      <c r="P56" s="42">
        <f>N56-M56</f>
        <v>-127.23599999987999</v>
      </c>
      <c r="Q56" s="42">
        <f>O56-M56</f>
        <v>-127.23599999987999</v>
      </c>
      <c r="R56" s="40">
        <f>HYPERLINK("[N Only Old retention.xlsx]'Coastal N Reductions'!BF12", 1.93)</f>
        <v>1.93</v>
      </c>
      <c r="S56" s="40">
        <f>HYPERLINK("[N Only New retention.xlsx]'Coastal N Reductions'!BF12", 2.44)</f>
        <v>2.44</v>
      </c>
      <c r="T56" s="40">
        <f>HYPERLINK("[N Only with New retention and Differentiation.xlsx]'Coastal N Reductions'!BF12", 0.51)</f>
        <v>0.51</v>
      </c>
      <c r="U56" s="41">
        <f>S56-R56</f>
        <v>0.51</v>
      </c>
      <c r="V56" s="42">
        <f>T56-R56</f>
        <v>-1.42</v>
      </c>
      <c r="W56" s="40">
        <f>HYPERLINK("[N Only Old retention.xlsx]'Coastal N Reductions'!BI12", 0.104)</f>
        <v>0.104</v>
      </c>
      <c r="X56" s="40">
        <f>HYPERLINK("[N Only New retention.xlsx]'Coastal N Reductions'!BI12", 0.104)</f>
        <v>0.104</v>
      </c>
      <c r="Y56" s="40">
        <f>HYPERLINK("[N Only with New retention and Differentiation.xlsx]'Coastal N Reductions'!BI12", 0.104)</f>
        <v>0.104</v>
      </c>
      <c r="Z56" s="18"/>
      <c r="AA56" s="18"/>
      <c r="AB56" s="18"/>
      <c r="AC56" s="26">
        <f>HYPERLINK("[N Only New retention.xlsx]'Coastal N Reductions'!BS12", 800)</f>
        <v>800</v>
      </c>
      <c r="AD56" s="26">
        <f>HYPERLINK("[N Only with New retention and Differentiation.xlsx]'Coastal N Reductions'!BS12", 800)</f>
        <v>800</v>
      </c>
      <c r="AE56" s="16">
        <f>AC56-AB56</f>
        <v>800</v>
      </c>
      <c r="AF56" s="16">
        <f>AD56-AB56</f>
        <v>800</v>
      </c>
      <c r="AG56" s="40">
        <f>HYPERLINK("[N Only Old retention.xlsx]'Coastal N Reductions'!BH12", 50.57)</f>
        <v>50.57</v>
      </c>
      <c r="AH56" s="40">
        <f>HYPERLINK("[N Only New retention.xlsx]'Coastal N Reductions'!BH12", 53.93)</f>
        <v>53.93</v>
      </c>
      <c r="AI56" s="40">
        <f>HYPERLINK("[N Only with New retention and Differentiation.xlsx]'Coastal N Reductions'!BH12", 53.93)</f>
        <v>53.93</v>
      </c>
      <c r="AJ56" s="41">
        <f>AH56-AG56</f>
        <v>3.3599999999999994</v>
      </c>
      <c r="AK56" s="41">
        <f>AI56-AG56</f>
        <v>3.3599999999999994</v>
      </c>
      <c r="AL56" s="40">
        <f>HYPERLINK("[N Only Old retention.xlsx]'Coastal N Reductions'!AZ12", 206.7396)</f>
        <v>206.7396</v>
      </c>
      <c r="AM56" s="40">
        <f>HYPERLINK("[N Only New retention.xlsx]'Coastal N Reductions'!AZ12", 219.903)</f>
        <v>219.90299999999999</v>
      </c>
      <c r="AN56" s="40">
        <f>HYPERLINK("[N Only with New retention and Differentiation.xlsx]'Coastal N Reductions'!AZ12", 224.5038)</f>
        <v>224.50380000000001</v>
      </c>
      <c r="AO56" s="41">
        <f>AM56-AL56</f>
        <v>13.163399999999996</v>
      </c>
      <c r="AP56" s="41">
        <f>AN56-AL56</f>
        <v>17.764200000000017</v>
      </c>
      <c r="AQ56" s="40">
        <f>HYPERLINK("[N Only Old retention.xlsx]'Coastal N Reductions'!BE12", 0.292)</f>
        <v>0.29199999999999998</v>
      </c>
      <c r="AR56" s="40">
        <f>HYPERLINK("[N Only New retention.xlsx]'Coastal N Reductions'!BE12", 1.182)</f>
        <v>1.1819999999999999</v>
      </c>
      <c r="AS56" s="40">
        <f>HYPERLINK("[N Only with New retention and Differentiation.xlsx]'Coastal N Reductions'!BE12", 1.182)</f>
        <v>1.1819999999999999</v>
      </c>
      <c r="AT56" s="41">
        <f>AR56-AQ56</f>
        <v>0.8899999999999999</v>
      </c>
      <c r="AU56" s="41">
        <f>AS56-AQ56</f>
        <v>0.8899999999999999</v>
      </c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</row>
    <row r="57" spans="1:62" x14ac:dyDescent="0.55000000000000004">
      <c r="A57" s="31">
        <v>111</v>
      </c>
      <c r="B57" s="5" t="s">
        <v>205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</row>
    <row r="58" spans="1:62" x14ac:dyDescent="0.55000000000000004">
      <c r="A58" s="30">
        <v>113</v>
      </c>
      <c r="B58" s="6" t="s">
        <v>206</v>
      </c>
      <c r="C58" s="18"/>
      <c r="D58" s="18"/>
      <c r="E58" s="40">
        <f>HYPERLINK("[N Only with New retention and Differentiation.xlsx]'Coastal N Reductions'!BD14", 39.818)</f>
        <v>39.817999999999998</v>
      </c>
      <c r="F58" s="18"/>
      <c r="G58" s="41">
        <f>E58-C58</f>
        <v>39.817999999999998</v>
      </c>
      <c r="H58" s="40">
        <f>HYPERLINK("[N Only Old retention.xlsx]'Coastal N Reductions'!AV14", 52.0379999999232)</f>
        <v>52.037999999923201</v>
      </c>
      <c r="I58" s="40">
        <f>HYPERLINK("[N Only New retention.xlsx]'Coastal N Reductions'!AV14", 38.398)</f>
        <v>38.398000000000003</v>
      </c>
      <c r="J58" s="40">
        <f>HYPERLINK("[N Only with New retention and Differentiation.xlsx]'Coastal N Reductions'!AV14", 40.432)</f>
        <v>40.432000000000002</v>
      </c>
      <c r="K58" s="42">
        <f>I58-H58</f>
        <v>-13.639999999923198</v>
      </c>
      <c r="L58" s="42">
        <f>J58-H58</f>
        <v>-11.605999999923199</v>
      </c>
      <c r="M58" s="40">
        <f>HYPERLINK("[N Only Old retention.xlsx]'Coastal N Reductions'!AX14", 3.324)</f>
        <v>3.3239999999999998</v>
      </c>
      <c r="N58" s="40">
        <f>HYPERLINK("[N Only New retention.xlsx]'Coastal N Reductions'!AX14", 3.324)</f>
        <v>3.3239999999999998</v>
      </c>
      <c r="O58" s="40">
        <f>HYPERLINK("[N Only with New retention and Differentiation.xlsx]'Coastal N Reductions'!AX14", 3.324)</f>
        <v>3.3239999999999998</v>
      </c>
      <c r="P58" s="18"/>
      <c r="Q58" s="18"/>
      <c r="R58" s="40">
        <f>HYPERLINK("[N Only Old retention.xlsx]'Coastal N Reductions'!BF14", 35.7979999999729)</f>
        <v>35.797999999972902</v>
      </c>
      <c r="S58" s="40">
        <f>HYPERLINK("[N Only New retention.xlsx]'Coastal N Reductions'!BF14", 48.898)</f>
        <v>48.898000000000003</v>
      </c>
      <c r="T58" s="40">
        <f>HYPERLINK("[N Only with New retention and Differentiation.xlsx]'Coastal N Reductions'!BF14", 4.8)</f>
        <v>4.8</v>
      </c>
      <c r="U58" s="41">
        <f>S58-R58</f>
        <v>13.100000000027102</v>
      </c>
      <c r="V58" s="42">
        <f>T58-R58</f>
        <v>-30.997999999972901</v>
      </c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40">
        <f>HYPERLINK("[N Only Old retention.xlsx]'Coastal N Reductions'!BH14", 8.99399999997238)</f>
        <v>8.9939999999723792</v>
      </c>
      <c r="AH58" s="40">
        <f>HYPERLINK("[N Only New retention.xlsx]'Coastal N Reductions'!BH14", 8.84400000000001)</f>
        <v>8.8440000000000101</v>
      </c>
      <c r="AI58" s="40">
        <f>HYPERLINK("[N Only with New retention and Differentiation.xlsx]'Coastal N Reductions'!BH14", 8.73400000000001)</f>
        <v>8.7340000000000106</v>
      </c>
      <c r="AJ58" s="42">
        <f>AH58-AG58</f>
        <v>-0.14999999997236912</v>
      </c>
      <c r="AK58" s="42">
        <f>AI58-AG58</f>
        <v>-0.25999999997236856</v>
      </c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</row>
    <row r="59" spans="1:62" x14ac:dyDescent="0.55000000000000004">
      <c r="A59" s="31">
        <v>114</v>
      </c>
      <c r="B59" s="5" t="s">
        <v>207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</row>
    <row r="60" spans="1:62" x14ac:dyDescent="0.55000000000000004">
      <c r="A60" s="30">
        <v>119</v>
      </c>
      <c r="B60" s="6" t="s">
        <v>208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</row>
    <row r="61" spans="1:62" x14ac:dyDescent="0.55000000000000004">
      <c r="A61" s="31">
        <v>120</v>
      </c>
      <c r="B61" s="5" t="s">
        <v>209</v>
      </c>
      <c r="C61" s="43">
        <f>HYPERLINK("[N Only Old retention.xlsx]'Coastal N Reductions'!BD17", 13619.4625071516)</f>
        <v>13619.4625071516</v>
      </c>
      <c r="D61" s="43">
        <f>HYPERLINK("[N Only New retention.xlsx]'Coastal N Reductions'!BD17", 14677.6265071522)</f>
        <v>14677.626507152199</v>
      </c>
      <c r="E61" s="43">
        <f>HYPERLINK("[N Only with New retention and Differentiation.xlsx]'Coastal N Reductions'!BD17", 22569.1025071521)</f>
        <v>22569.1025071521</v>
      </c>
      <c r="F61" s="41">
        <f>D61-C61</f>
        <v>1058.1640000005991</v>
      </c>
      <c r="G61" s="41">
        <f>E61-C61</f>
        <v>8949.6400000004996</v>
      </c>
      <c r="H61" s="43">
        <f>HYPERLINK("[N Only Old retention.xlsx]'Coastal N Reductions'!AV17", 10568.6359999997)</f>
        <v>10568.6359999997</v>
      </c>
      <c r="I61" s="43">
        <f>HYPERLINK("[N Only New retention.xlsx]'Coastal N Reductions'!AV17", 11389.6479999998)</f>
        <v>11389.647999999799</v>
      </c>
      <c r="J61" s="43">
        <f>HYPERLINK("[N Only with New retention and Differentiation.xlsx]'Coastal N Reductions'!AV17", 11434.334)</f>
        <v>11434.334000000001</v>
      </c>
      <c r="K61" s="41">
        <f>I61-H61</f>
        <v>821.01200000009885</v>
      </c>
      <c r="L61" s="41">
        <f>J61-H61</f>
        <v>865.69800000030045</v>
      </c>
      <c r="M61" s="43">
        <f>HYPERLINK("[N Only Old retention.xlsx]'Coastal N Reductions'!AX17", 924.215999999918)</f>
        <v>924.21599999991804</v>
      </c>
      <c r="N61" s="43">
        <f>HYPERLINK("[N Only New retention.xlsx]'Coastal N Reductions'!AX17", 884.928)</f>
        <v>884.928</v>
      </c>
      <c r="O61" s="43">
        <f>HYPERLINK("[N Only with New retention and Differentiation.xlsx]'Coastal N Reductions'!AX17", 894.348)</f>
        <v>894.34799999999996</v>
      </c>
      <c r="P61" s="42">
        <f>N61-M61</f>
        <v>-39.287999999918043</v>
      </c>
      <c r="Q61" s="42">
        <f>O61-M61</f>
        <v>-29.867999999918084</v>
      </c>
      <c r="R61" s="43">
        <f>HYPERLINK("[N Only Old retention.xlsx]'Coastal N Reductions'!BF17", 12540.5719999992)</f>
        <v>12540.5719999992</v>
      </c>
      <c r="S61" s="43">
        <f>HYPERLINK("[N Only New retention.xlsx]'Coastal N Reductions'!BF17", 11257.7319999998)</f>
        <v>11257.7319999998</v>
      </c>
      <c r="T61" s="43">
        <f>HYPERLINK("[N Only with New retention and Differentiation.xlsx]'Coastal N Reductions'!BF17", 3075.794)</f>
        <v>3075.7939999999999</v>
      </c>
      <c r="U61" s="42">
        <f>S61-R61</f>
        <v>-1282.8399999993999</v>
      </c>
      <c r="V61" s="42">
        <f>T61-R61</f>
        <v>-9464.7779999991999</v>
      </c>
      <c r="W61" s="43">
        <f>HYPERLINK("[N Only Old retention.xlsx]'Coastal N Reductions'!BI17", 6083.97626119017)</f>
        <v>6083.9762611901697</v>
      </c>
      <c r="X61" s="43">
        <f>HYPERLINK("[N Only New retention.xlsx]'Coastal N Reductions'!BI17", 5112.86626119026)</f>
        <v>5112.86626119026</v>
      </c>
      <c r="Y61" s="43">
        <f>HYPERLINK("[N Only with New retention and Differentiation.xlsx]'Coastal N Reductions'!BI17", 5127.43026119026)</f>
        <v>5127.4302611902604</v>
      </c>
      <c r="Z61" s="42">
        <f>X61-W61</f>
        <v>-971.10999999990963</v>
      </c>
      <c r="AA61" s="42">
        <f>Y61-W61</f>
        <v>-956.54599999990933</v>
      </c>
      <c r="AB61" s="13"/>
      <c r="AC61" s="13"/>
      <c r="AD61" s="13"/>
      <c r="AE61" s="13"/>
      <c r="AF61" s="13"/>
      <c r="AG61" s="43">
        <f>HYPERLINK("[N Only Old retention.xlsx]'Coastal N Reductions'!BH17", 1429.84301498219)</f>
        <v>1429.84301498219</v>
      </c>
      <c r="AH61" s="43">
        <f>HYPERLINK("[N Only New retention.xlsx]'Coastal N Reductions'!BH17", 1542.61901498242)</f>
        <v>1542.6190149824199</v>
      </c>
      <c r="AI61" s="43">
        <f>HYPERLINK("[N Only with New retention and Differentiation.xlsx]'Coastal N Reductions'!BH17", 1552.77901498242)</f>
        <v>1552.77901498242</v>
      </c>
      <c r="AJ61" s="41">
        <f>AH61-AG61</f>
        <v>112.77600000022994</v>
      </c>
      <c r="AK61" s="41">
        <f>AI61-AG61</f>
        <v>122.93600000023002</v>
      </c>
      <c r="AL61" s="43">
        <f>HYPERLINK("[N Only Old retention.xlsx]'Coastal N Reductions'!AZ17", 615.1656)</f>
        <v>615.16560000000004</v>
      </c>
      <c r="AM61" s="43">
        <f>HYPERLINK("[N Only New retention.xlsx]'Coastal N Reductions'!AZ17", 606.384)</f>
        <v>606.38400000000001</v>
      </c>
      <c r="AN61" s="43">
        <f>HYPERLINK("[N Only with New retention and Differentiation.xlsx]'Coastal N Reductions'!AZ17", 600.7782)</f>
        <v>600.77819999999997</v>
      </c>
      <c r="AO61" s="42">
        <f>AM61-AL61</f>
        <v>-8.7816000000000258</v>
      </c>
      <c r="AP61" s="42">
        <f>AN61-AL61</f>
        <v>-14.387400000000071</v>
      </c>
      <c r="AQ61" s="43">
        <f>HYPERLINK("[N Only Old retention.xlsx]'Coastal N Reductions'!BE17", 228.209999999974)</f>
        <v>228.209999999974</v>
      </c>
      <c r="AR61" s="43">
        <f>HYPERLINK("[N Only New retention.xlsx]'Coastal N Reductions'!BE17", 178.118)</f>
        <v>178.11799999999999</v>
      </c>
      <c r="AS61" s="43">
        <f>HYPERLINK("[N Only with New retention and Differentiation.xlsx]'Coastal N Reductions'!BE17", 92.182)</f>
        <v>92.182000000000002</v>
      </c>
      <c r="AT61" s="42">
        <f>AR61-AQ61</f>
        <v>-50.091999999974007</v>
      </c>
      <c r="AU61" s="42">
        <f>AS61-AQ61</f>
        <v>-136.02799999997399</v>
      </c>
      <c r="AV61" s="43">
        <f>HYPERLINK("[N Only Old retention.xlsx]'Coastal N Reductions'!BC17", 4.49)</f>
        <v>4.49</v>
      </c>
      <c r="AW61" s="43">
        <f>HYPERLINK("[N Only New retention.xlsx]'Coastal N Reductions'!BC17", 4.49)</f>
        <v>4.49</v>
      </c>
      <c r="AX61" s="43">
        <f>HYPERLINK("[N Only with New retention and Differentiation.xlsx]'Coastal N Reductions'!BC17", 23.67)</f>
        <v>23.67</v>
      </c>
      <c r="AY61" s="13"/>
      <c r="AZ61" s="41">
        <f>AX61-AV61</f>
        <v>19.18</v>
      </c>
      <c r="BA61" s="13"/>
      <c r="BB61" s="43">
        <f>HYPERLINK("[N Only New retention.xlsx]'Coastal N Reductions'!BP17", 0.18)</f>
        <v>0.18</v>
      </c>
      <c r="BC61" s="13"/>
      <c r="BD61" s="41">
        <f>BB61-BA61</f>
        <v>0.18</v>
      </c>
      <c r="BE61" s="13"/>
      <c r="BF61" s="13"/>
      <c r="BG61" s="13"/>
      <c r="BH61" s="13"/>
      <c r="BI61" s="13"/>
      <c r="BJ61" s="13"/>
    </row>
    <row r="62" spans="1:62" x14ac:dyDescent="0.55000000000000004">
      <c r="A62" s="30">
        <v>121</v>
      </c>
      <c r="B62" s="6" t="s">
        <v>210</v>
      </c>
      <c r="C62" s="40">
        <f>HYPERLINK("[N Only Old retention.xlsx]'Coastal N Reductions'!BD18", 1700.276)</f>
        <v>1700.2760000000001</v>
      </c>
      <c r="D62" s="40">
        <f>HYPERLINK("[N Only New retention.xlsx]'Coastal N Reductions'!BD18", 2326.868)</f>
        <v>2326.8679999999999</v>
      </c>
      <c r="E62" s="40">
        <f>HYPERLINK("[N Only with New retention and Differentiation.xlsx]'Coastal N Reductions'!BD18", 2489.752)</f>
        <v>2489.752</v>
      </c>
      <c r="F62" s="41">
        <f>D62-C62</f>
        <v>626.59199999999987</v>
      </c>
      <c r="G62" s="41">
        <f>E62-C62</f>
        <v>789.47599999999989</v>
      </c>
      <c r="H62" s="40">
        <f>HYPERLINK("[N Only Old retention.xlsx]'Coastal N Reductions'!AV18", 8025.19)</f>
        <v>8025.19</v>
      </c>
      <c r="I62" s="40">
        <f>HYPERLINK("[N Only New retention.xlsx]'Coastal N Reductions'!AV18", 7073.372)</f>
        <v>7073.3720000000003</v>
      </c>
      <c r="J62" s="40">
        <f>HYPERLINK("[N Only with New retention and Differentiation.xlsx]'Coastal N Reductions'!AV18", 8448.038)</f>
        <v>8448.0380000000005</v>
      </c>
      <c r="K62" s="42">
        <f>I62-H62</f>
        <v>-951.8179999999993</v>
      </c>
      <c r="L62" s="41">
        <f>J62-H62</f>
        <v>422.84800000000087</v>
      </c>
      <c r="M62" s="40">
        <f>HYPERLINK("[N Only Old retention.xlsx]'Coastal N Reductions'!AX18", 48.108)</f>
        <v>48.107999999999997</v>
      </c>
      <c r="N62" s="40">
        <f>HYPERLINK("[N Only New retention.xlsx]'Coastal N Reductions'!AX18", 69.308)</f>
        <v>69.308000000000007</v>
      </c>
      <c r="O62" s="40">
        <f>HYPERLINK("[N Only with New retention and Differentiation.xlsx]'Coastal N Reductions'!AX18", 71.278)</f>
        <v>71.278000000000006</v>
      </c>
      <c r="P62" s="41">
        <f>N62-M62</f>
        <v>21.20000000000001</v>
      </c>
      <c r="Q62" s="41">
        <f>O62-M62</f>
        <v>23.170000000000009</v>
      </c>
      <c r="R62" s="40">
        <f>HYPERLINK("[N Only Old retention.xlsx]'Coastal N Reductions'!BF18", 9887.95073772797)</f>
        <v>9887.9507377279697</v>
      </c>
      <c r="S62" s="40">
        <f>HYPERLINK("[N Only New retention.xlsx]'Coastal N Reductions'!BF18", 8750.53673772814)</f>
        <v>8750.53673772814</v>
      </c>
      <c r="T62" s="40">
        <f>HYPERLINK("[N Only with New retention and Differentiation.xlsx]'Coastal N Reductions'!BF18", 8254.86273772814)</f>
        <v>8254.8627377281391</v>
      </c>
      <c r="U62" s="42">
        <f>S62-R62</f>
        <v>-1137.4139999998297</v>
      </c>
      <c r="V62" s="42">
        <f>T62-R62</f>
        <v>-1633.0879999998306</v>
      </c>
      <c r="W62" s="40">
        <f>HYPERLINK("[N Only Old retention.xlsx]'Coastal N Reductions'!BI18", 469.201999999995)</f>
        <v>469.201999999995</v>
      </c>
      <c r="X62" s="18"/>
      <c r="Y62" s="40">
        <f>HYPERLINK("[N Only with New retention and Differentiation.xlsx]'Coastal N Reductions'!BI18", 0.388)</f>
        <v>0.38800000000000001</v>
      </c>
      <c r="Z62" s="42">
        <f>X62-W62</f>
        <v>-469.201999999995</v>
      </c>
      <c r="AA62" s="42">
        <f>Y62-W62</f>
        <v>-468.81399999999502</v>
      </c>
      <c r="AB62" s="18"/>
      <c r="AC62" s="18"/>
      <c r="AD62" s="18"/>
      <c r="AE62" s="18"/>
      <c r="AF62" s="18"/>
      <c r="AG62" s="40">
        <f>HYPERLINK("[N Only Old retention.xlsx]'Coastal N Reductions'!BH18", 1599.85499936336)</f>
        <v>1599.8549993633601</v>
      </c>
      <c r="AH62" s="40">
        <f>HYPERLINK("[N Only New retention.xlsx]'Coastal N Reductions'!BH18", 1319.76248740282)</f>
        <v>1319.7624874028199</v>
      </c>
      <c r="AI62" s="40">
        <f>HYPERLINK("[N Only with New retention and Differentiation.xlsx]'Coastal N Reductions'!BH18", 1388.61048740283)</f>
        <v>1388.6104874028299</v>
      </c>
      <c r="AJ62" s="42">
        <f>AH62-AG62</f>
        <v>-280.09251196054015</v>
      </c>
      <c r="AK62" s="42">
        <f>AI62-AG62</f>
        <v>-211.24451196053019</v>
      </c>
      <c r="AL62" s="40">
        <f>HYPERLINK("[N Only Old retention.xlsx]'Coastal N Reductions'!AZ18", 4.9092)</f>
        <v>4.9092000000000002</v>
      </c>
      <c r="AM62" s="40">
        <f>HYPERLINK("[N Only New retention.xlsx]'Coastal N Reductions'!AZ18", 6.993)</f>
        <v>6.9930000000000003</v>
      </c>
      <c r="AN62" s="40">
        <f>HYPERLINK("[N Only with New retention and Differentiation.xlsx]'Coastal N Reductions'!AZ18", 44.0922)</f>
        <v>44.092199999999998</v>
      </c>
      <c r="AO62" s="41">
        <f>AM62-AL62</f>
        <v>2.0838000000000001</v>
      </c>
      <c r="AP62" s="41">
        <f>AN62-AL62</f>
        <v>39.183</v>
      </c>
      <c r="AQ62" s="40">
        <f>HYPERLINK("[N Only Old retention.xlsx]'Coastal N Reductions'!BE18", 0.08)</f>
        <v>0.08</v>
      </c>
      <c r="AR62" s="18"/>
      <c r="AS62" s="18"/>
      <c r="AT62" s="42">
        <f>AR62-AQ62</f>
        <v>-0.08</v>
      </c>
      <c r="AU62" s="42">
        <f>AS62-AQ62</f>
        <v>-0.08</v>
      </c>
      <c r="AV62" s="18"/>
      <c r="AW62" s="18"/>
      <c r="AX62" s="40">
        <f>HYPERLINK("[N Only with New retention and Differentiation.xlsx]'Coastal N Reductions'!BC18", 4.488)</f>
        <v>4.4880000000000004</v>
      </c>
      <c r="AY62" s="18"/>
      <c r="AZ62" s="41">
        <f>AX62-AV62</f>
        <v>4.4880000000000004</v>
      </c>
      <c r="BA62" s="18"/>
      <c r="BB62" s="40">
        <f>HYPERLINK("[N Only New retention.xlsx]'Coastal N Reductions'!BP18", 0.13)</f>
        <v>0.13</v>
      </c>
      <c r="BC62" s="18"/>
      <c r="BD62" s="41">
        <f>BB62-BA62</f>
        <v>0.13</v>
      </c>
      <c r="BE62" s="18"/>
      <c r="BF62" s="18"/>
      <c r="BG62" s="18"/>
      <c r="BH62" s="18"/>
      <c r="BI62" s="18"/>
      <c r="BJ62" s="18"/>
    </row>
    <row r="63" spans="1:62" x14ac:dyDescent="0.55000000000000004">
      <c r="A63" s="31">
        <v>122</v>
      </c>
      <c r="B63" s="5" t="s">
        <v>211</v>
      </c>
      <c r="C63" s="43">
        <f>HYPERLINK("[N Only Old retention.xlsx]'Coastal N Reductions'!BD19", 1009.50799999988)</f>
        <v>1009.50799999988</v>
      </c>
      <c r="D63" s="43">
        <f>HYPERLINK("[N Only New retention.xlsx]'Coastal N Reductions'!BD19", 1206.092)</f>
        <v>1206.0920000000001</v>
      </c>
      <c r="E63" s="43">
        <f>HYPERLINK("[N Only with New retention and Differentiation.xlsx]'Coastal N Reductions'!BD19", 1205.27)</f>
        <v>1205.27</v>
      </c>
      <c r="F63" s="41">
        <f>D63-C63</f>
        <v>196.58400000012011</v>
      </c>
      <c r="G63" s="41">
        <f>E63-C63</f>
        <v>195.76200000012</v>
      </c>
      <c r="H63" s="43">
        <f>HYPERLINK("[N Only Old retention.xlsx]'Coastal N Reductions'!AV19", 1809.732)</f>
        <v>1809.732</v>
      </c>
      <c r="I63" s="43">
        <f>HYPERLINK("[N Only New retention.xlsx]'Coastal N Reductions'!AV19", 1686.722)</f>
        <v>1686.722</v>
      </c>
      <c r="J63" s="43">
        <f>HYPERLINK("[N Only with New retention and Differentiation.xlsx]'Coastal N Reductions'!AV19", 1686.722)</f>
        <v>1686.722</v>
      </c>
      <c r="K63" s="42">
        <f>I63-H63</f>
        <v>-123.00999999999999</v>
      </c>
      <c r="L63" s="42">
        <f>J63-H63</f>
        <v>-123.00999999999999</v>
      </c>
      <c r="M63" s="43">
        <f>HYPERLINK("[N Only Old retention.xlsx]'Coastal N Reductions'!AX19", 2545.59199999986)</f>
        <v>2545.59199999986</v>
      </c>
      <c r="N63" s="43">
        <f>HYPERLINK("[N Only New retention.xlsx]'Coastal N Reductions'!AX19", 2821.47199999975)</f>
        <v>2821.4719999997501</v>
      </c>
      <c r="O63" s="43">
        <f>HYPERLINK("[N Only with New retention and Differentiation.xlsx]'Coastal N Reductions'!AX19", 2820.05199999976)</f>
        <v>2820.05199999976</v>
      </c>
      <c r="P63" s="41">
        <f>N63-M63</f>
        <v>275.87999999989006</v>
      </c>
      <c r="Q63" s="41">
        <f>O63-M63</f>
        <v>274.45999999989999</v>
      </c>
      <c r="R63" s="43">
        <f>HYPERLINK("[N Only Old retention.xlsx]'Coastal N Reductions'!BF19", 63.312)</f>
        <v>63.311999999999998</v>
      </c>
      <c r="S63" s="43">
        <f>HYPERLINK("[N Only New retention.xlsx]'Coastal N Reductions'!BF19", 72)</f>
        <v>72</v>
      </c>
      <c r="T63" s="43">
        <f>HYPERLINK("[N Only with New retention and Differentiation.xlsx]'Coastal N Reductions'!BF19", 72.88)</f>
        <v>72.88</v>
      </c>
      <c r="U63" s="41">
        <f>S63-R63</f>
        <v>8.6880000000000024</v>
      </c>
      <c r="V63" s="41">
        <f>T63-R63</f>
        <v>9.5679999999999978</v>
      </c>
      <c r="W63" s="43">
        <f>HYPERLINK("[N Only Old retention.xlsx]'Coastal N Reductions'!BI19", 21.15)</f>
        <v>21.15</v>
      </c>
      <c r="X63" s="43">
        <f>HYPERLINK("[N Only New retention.xlsx]'Coastal N Reductions'!BI19", 21.26)</f>
        <v>21.26</v>
      </c>
      <c r="Y63" s="43">
        <f>HYPERLINK("[N Only with New retention and Differentiation.xlsx]'Coastal N Reductions'!BI19", 21.26)</f>
        <v>21.26</v>
      </c>
      <c r="Z63" s="41">
        <f>X63-W63</f>
        <v>0.11000000000000298</v>
      </c>
      <c r="AA63" s="41">
        <f>Y63-W63</f>
        <v>0.11000000000000298</v>
      </c>
      <c r="AB63" s="13"/>
      <c r="AC63" s="28">
        <f>HYPERLINK("[N Only New retention.xlsx]'Coastal N Reductions'!BS19", 1400)</f>
        <v>1400</v>
      </c>
      <c r="AD63" s="28">
        <f>HYPERLINK("[N Only with New retention and Differentiation.xlsx]'Coastal N Reductions'!BS19", 1400)</f>
        <v>1400</v>
      </c>
      <c r="AE63" s="16">
        <f>AC63-AB63</f>
        <v>1400</v>
      </c>
      <c r="AF63" s="16">
        <f>AD63-AB63</f>
        <v>1400</v>
      </c>
      <c r="AG63" s="43">
        <f>HYPERLINK("[N Only Old retention.xlsx]'Coastal N Reductions'!BH19", 112.491577917025)</f>
        <v>112.491577917025</v>
      </c>
      <c r="AH63" s="43">
        <f>HYPERLINK("[N Only New retention.xlsx]'Coastal N Reductions'!BH19", 170.593577917113)</f>
        <v>170.59357791711301</v>
      </c>
      <c r="AI63" s="43">
        <f>HYPERLINK("[N Only with New retention and Differentiation.xlsx]'Coastal N Reductions'!BH19", 170.671577917113)</f>
        <v>170.67157791711301</v>
      </c>
      <c r="AJ63" s="41">
        <f>AH63-AG63</f>
        <v>58.102000000088012</v>
      </c>
      <c r="AK63" s="41">
        <f>AI63-AG63</f>
        <v>58.180000000088015</v>
      </c>
      <c r="AL63" s="43">
        <f>HYPERLINK("[N Only Old retention.xlsx]'Coastal N Reductions'!AZ19", 1036.6608)</f>
        <v>1036.6608000000001</v>
      </c>
      <c r="AM63" s="43">
        <f>HYPERLINK("[N Only New retention.xlsx]'Coastal N Reductions'!AZ19", 915.2364)</f>
        <v>915.2364</v>
      </c>
      <c r="AN63" s="43">
        <f>HYPERLINK("[N Only with New retention and Differentiation.xlsx]'Coastal N Reductions'!AZ19", 915.8712)</f>
        <v>915.87120000000004</v>
      </c>
      <c r="AO63" s="42">
        <f>AM63-AL63</f>
        <v>-121.42440000000011</v>
      </c>
      <c r="AP63" s="42">
        <f>AN63-AL63</f>
        <v>-120.78960000000006</v>
      </c>
      <c r="AQ63" s="13"/>
      <c r="AR63" s="43">
        <f>HYPERLINK("[N Only New retention.xlsx]'Coastal N Reductions'!BE19", 0.0039999999999999)</f>
        <v>3.9999999999999003E-3</v>
      </c>
      <c r="AS63" s="43">
        <f>HYPERLINK("[N Only with New retention and Differentiation.xlsx]'Coastal N Reductions'!BE19", 0.0039999999999999)</f>
        <v>3.9999999999999003E-3</v>
      </c>
      <c r="AT63" s="41">
        <f>AR63-AQ63</f>
        <v>3.9999999999999003E-3</v>
      </c>
      <c r="AU63" s="41">
        <f>AS63-AQ63</f>
        <v>3.9999999999999003E-3</v>
      </c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</row>
    <row r="64" spans="1:62" x14ac:dyDescent="0.55000000000000004">
      <c r="A64" s="30">
        <v>123</v>
      </c>
      <c r="B64" s="6" t="s">
        <v>212</v>
      </c>
      <c r="C64" s="40">
        <f>HYPERLINK("[N Only Old retention.xlsx]'Coastal N Reductions'!BD20", 2310.36399999993)</f>
        <v>2310.36399999993</v>
      </c>
      <c r="D64" s="40">
        <f>HYPERLINK("[N Only New retention.xlsx]'Coastal N Reductions'!BD20", 1806.09599999995)</f>
        <v>1806.09599999995</v>
      </c>
      <c r="E64" s="40">
        <f>HYPERLINK("[N Only with New retention and Differentiation.xlsx]'Coastal N Reductions'!BD20", 1949.786)</f>
        <v>1949.7860000000001</v>
      </c>
      <c r="F64" s="42">
        <f>D64-C64</f>
        <v>-504.26799999998002</v>
      </c>
      <c r="G64" s="42">
        <f>E64-C64</f>
        <v>-360.57799999992994</v>
      </c>
      <c r="H64" s="40">
        <f>HYPERLINK("[N Only Old retention.xlsx]'Coastal N Reductions'!AV20", 1054.38799999988)</f>
        <v>1054.3879999998801</v>
      </c>
      <c r="I64" s="40">
        <f>HYPERLINK("[N Only New retention.xlsx]'Coastal N Reductions'!AV20", 698.194)</f>
        <v>698.19399999999996</v>
      </c>
      <c r="J64" s="40">
        <f>HYPERLINK("[N Only with New retention and Differentiation.xlsx]'Coastal N Reductions'!AV20", 702.992)</f>
        <v>702.99199999999996</v>
      </c>
      <c r="K64" s="42">
        <f>I64-H64</f>
        <v>-356.19399999988013</v>
      </c>
      <c r="L64" s="42">
        <f>J64-H64</f>
        <v>-351.39599999988013</v>
      </c>
      <c r="M64" s="40">
        <f>HYPERLINK("[N Only Old retention.xlsx]'Coastal N Reductions'!AX20", 239.69)</f>
        <v>239.69</v>
      </c>
      <c r="N64" s="40">
        <f>HYPERLINK("[N Only New retention.xlsx]'Coastal N Reductions'!AX20", 222.034)</f>
        <v>222.03399999999999</v>
      </c>
      <c r="O64" s="40">
        <f>HYPERLINK("[N Only with New retention and Differentiation.xlsx]'Coastal N Reductions'!AX20", 222.034)</f>
        <v>222.03399999999999</v>
      </c>
      <c r="P64" s="42">
        <f>N64-M64</f>
        <v>-17.656000000000006</v>
      </c>
      <c r="Q64" s="42">
        <f>O64-M64</f>
        <v>-17.656000000000006</v>
      </c>
      <c r="R64" s="40">
        <f>HYPERLINK("[N Only Old retention.xlsx]'Coastal N Reductions'!BF20", 39.37)</f>
        <v>39.369999999999997</v>
      </c>
      <c r="S64" s="40">
        <f>HYPERLINK("[N Only New retention.xlsx]'Coastal N Reductions'!BF20", 172.04)</f>
        <v>172.04</v>
      </c>
      <c r="T64" s="40">
        <f>HYPERLINK("[N Only with New retention and Differentiation.xlsx]'Coastal N Reductions'!BF20", 16.72)</f>
        <v>16.72</v>
      </c>
      <c r="U64" s="41">
        <f>S64-R64</f>
        <v>132.66999999999999</v>
      </c>
      <c r="V64" s="42">
        <f>T64-R64</f>
        <v>-22.65</v>
      </c>
      <c r="W64" s="40">
        <f>HYPERLINK("[N Only Old retention.xlsx]'Coastal N Reductions'!BI20", 1.15)</f>
        <v>1.1499999999999999</v>
      </c>
      <c r="X64" s="18"/>
      <c r="Y64" s="18"/>
      <c r="Z64" s="42">
        <f>X64-W64</f>
        <v>-1.1499999999999999</v>
      </c>
      <c r="AA64" s="42">
        <f>Y64-W64</f>
        <v>-1.1499999999999999</v>
      </c>
      <c r="AB64" s="18"/>
      <c r="AC64" s="18"/>
      <c r="AD64" s="18"/>
      <c r="AE64" s="18"/>
      <c r="AF64" s="18"/>
      <c r="AG64" s="40">
        <f>HYPERLINK("[N Only Old retention.xlsx]'Coastal N Reductions'!BH20", 55.148)</f>
        <v>55.148000000000003</v>
      </c>
      <c r="AH64" s="40">
        <f>HYPERLINK("[N Only New retention.xlsx]'Coastal N Reductions'!BH20", 39.87)</f>
        <v>39.869999999999997</v>
      </c>
      <c r="AI64" s="40">
        <f>HYPERLINK("[N Only with New retention and Differentiation.xlsx]'Coastal N Reductions'!BH20", 39.29)</f>
        <v>39.29</v>
      </c>
      <c r="AJ64" s="42">
        <f>AH64-AG64</f>
        <v>-15.278000000000006</v>
      </c>
      <c r="AK64" s="42">
        <f>AI64-AG64</f>
        <v>-15.858000000000004</v>
      </c>
      <c r="AL64" s="40">
        <f>HYPERLINK("[N Only Old retention.xlsx]'Coastal N Reductions'!AZ20", 484.3806)</f>
        <v>484.38060000000002</v>
      </c>
      <c r="AM64" s="40">
        <f>HYPERLINK("[N Only New retention.xlsx]'Coastal N Reductions'!AZ20", 375.983999999872)</f>
        <v>375.98399999987203</v>
      </c>
      <c r="AN64" s="40">
        <f>HYPERLINK("[N Only with New retention and Differentiation.xlsx]'Coastal N Reductions'!AZ20", 376.183199999872)</f>
        <v>376.18319999987199</v>
      </c>
      <c r="AO64" s="42">
        <f>AM64-AL64</f>
        <v>-108.39660000012799</v>
      </c>
      <c r="AP64" s="42">
        <f>AN64-AL64</f>
        <v>-108.19740000012803</v>
      </c>
      <c r="AQ64" s="18"/>
      <c r="AR64" s="18"/>
      <c r="AS64" s="18"/>
      <c r="AT64" s="18"/>
      <c r="AU64" s="18"/>
      <c r="AV64" s="18"/>
      <c r="AW64" s="18"/>
      <c r="AX64" s="40">
        <f>HYPERLINK("[N Only with New retention and Differentiation.xlsx]'Coastal N Reductions'!BC20", 4.69)</f>
        <v>4.6900000000000004</v>
      </c>
      <c r="AY64" s="18"/>
      <c r="AZ64" s="41">
        <f>AX64-AV64</f>
        <v>4.6900000000000004</v>
      </c>
      <c r="BA64" s="18"/>
      <c r="BB64" s="18"/>
      <c r="BC64" s="18"/>
      <c r="BD64" s="18"/>
      <c r="BE64" s="18"/>
      <c r="BF64" s="18"/>
      <c r="BG64" s="18"/>
      <c r="BH64" s="18"/>
      <c r="BI64" s="18"/>
      <c r="BJ64" s="18"/>
    </row>
    <row r="65" spans="1:62" x14ac:dyDescent="0.55000000000000004">
      <c r="A65" s="31">
        <v>124</v>
      </c>
      <c r="B65" s="5" t="s">
        <v>213</v>
      </c>
      <c r="C65" s="43">
        <f>HYPERLINK("[N Only Old retention.xlsx]'Coastal N Reductions'!BD21", 5971.77308859525)</f>
        <v>5971.7730885952496</v>
      </c>
      <c r="D65" s="43">
        <f>HYPERLINK("[N Only New retention.xlsx]'Coastal N Reductions'!BD21", 5799.43508859567)</f>
        <v>5799.4350885956701</v>
      </c>
      <c r="E65" s="43">
        <f>HYPERLINK("[N Only with New retention and Differentiation.xlsx]'Coastal N Reductions'!BD21", 5907.43108859567)</f>
        <v>5907.4310885956702</v>
      </c>
      <c r="F65" s="42">
        <f>D65-C65</f>
        <v>-172.33799999957955</v>
      </c>
      <c r="G65" s="42">
        <f>E65-C65</f>
        <v>-64.341999999579457</v>
      </c>
      <c r="H65" s="43">
        <f>HYPERLINK("[N Only Old retention.xlsx]'Coastal N Reductions'!AV21", 1419.14999999976)</f>
        <v>1419.14999999976</v>
      </c>
      <c r="I65" s="43">
        <f>HYPERLINK("[N Only New retention.xlsx]'Coastal N Reductions'!AV21", 1445.162)</f>
        <v>1445.162</v>
      </c>
      <c r="J65" s="43">
        <f>HYPERLINK("[N Only with New retention and Differentiation.xlsx]'Coastal N Reductions'!AV21", 1446.856)</f>
        <v>1446.856</v>
      </c>
      <c r="K65" s="41">
        <f>I65-H65</f>
        <v>26.01200000024005</v>
      </c>
      <c r="L65" s="41">
        <f>J65-H65</f>
        <v>27.70600000024001</v>
      </c>
      <c r="M65" s="43">
        <f>HYPERLINK("[N Only Old retention.xlsx]'Coastal N Reductions'!AX21", 1943.13999999982)</f>
        <v>1943.13999999982</v>
      </c>
      <c r="N65" s="43">
        <f>HYPERLINK("[N Only New retention.xlsx]'Coastal N Reductions'!AX21", 2031.246)</f>
        <v>2031.2460000000001</v>
      </c>
      <c r="O65" s="43">
        <f>HYPERLINK("[N Only with New retention and Differentiation.xlsx]'Coastal N Reductions'!AX21", 2026.726)</f>
        <v>2026.7260000000001</v>
      </c>
      <c r="P65" s="41">
        <f>N65-M65</f>
        <v>88.106000000180074</v>
      </c>
      <c r="Q65" s="41">
        <f>O65-M65</f>
        <v>83.586000000180093</v>
      </c>
      <c r="R65" s="43">
        <f>HYPERLINK("[N Only Old retention.xlsx]'Coastal N Reductions'!BF21", 483.416)</f>
        <v>483.416</v>
      </c>
      <c r="S65" s="43">
        <f>HYPERLINK("[N Only New retention.xlsx]'Coastal N Reductions'!BF21", 466.575999999923)</f>
        <v>466.575999999923</v>
      </c>
      <c r="T65" s="43">
        <f>HYPERLINK("[N Only with New retention and Differentiation.xlsx]'Coastal N Reductions'!BF21", 285.825999999956)</f>
        <v>285.82599999995603</v>
      </c>
      <c r="U65" s="42">
        <f>S65-R65</f>
        <v>-16.840000000076998</v>
      </c>
      <c r="V65" s="42">
        <f>T65-R65</f>
        <v>-197.59000000004397</v>
      </c>
      <c r="W65" s="43">
        <f>HYPERLINK("[N Only Old retention.xlsx]'Coastal N Reductions'!BI21", 82.816)</f>
        <v>82.816000000000003</v>
      </c>
      <c r="X65" s="43">
        <f>HYPERLINK("[N Only New retention.xlsx]'Coastal N Reductions'!BI21", 83.562)</f>
        <v>83.561999999999998</v>
      </c>
      <c r="Y65" s="43">
        <f>HYPERLINK("[N Only with New retention and Differentiation.xlsx]'Coastal N Reductions'!BI21", 85.432)</f>
        <v>85.432000000000002</v>
      </c>
      <c r="Z65" s="41">
        <f>X65-W65</f>
        <v>0.74599999999999511</v>
      </c>
      <c r="AA65" s="41">
        <f>Y65-W65</f>
        <v>2.6159999999999997</v>
      </c>
      <c r="AB65" s="28">
        <f>HYPERLINK("[N Only Old retention.xlsx]'Coastal N Reductions'!BS21", 3200)</f>
        <v>3200</v>
      </c>
      <c r="AC65" s="28">
        <f>HYPERLINK("[N Only New retention.xlsx]'Coastal N Reductions'!BS21", 2000)</f>
        <v>2000</v>
      </c>
      <c r="AD65" s="28">
        <f>HYPERLINK("[N Only with New retention and Differentiation.xlsx]'Coastal N Reductions'!BS21", 2100)</f>
        <v>2100</v>
      </c>
      <c r="AE65" s="21">
        <f>AC65-AB65</f>
        <v>-1200</v>
      </c>
      <c r="AF65" s="21">
        <f>AD65-AB65</f>
        <v>-1100</v>
      </c>
      <c r="AG65" s="43">
        <f>HYPERLINK("[N Only Old retention.xlsx]'Coastal N Reductions'!BH21", 92.7411034482759)</f>
        <v>92.741103448275894</v>
      </c>
      <c r="AH65" s="43">
        <f>HYPERLINK("[N Only New retention.xlsx]'Coastal N Reductions'!BH21", 94.3811034482759)</f>
        <v>94.381103448275894</v>
      </c>
      <c r="AI65" s="43">
        <f>HYPERLINK("[N Only with New retention and Differentiation.xlsx]'Coastal N Reductions'!BH21", 94.3811034482759)</f>
        <v>94.381103448275894</v>
      </c>
      <c r="AJ65" s="41">
        <f>AH65-AG65</f>
        <v>1.6400000000000006</v>
      </c>
      <c r="AK65" s="41">
        <f>AI65-AG65</f>
        <v>1.6400000000000006</v>
      </c>
      <c r="AL65" s="43">
        <f>HYPERLINK("[N Only Old retention.xlsx]'Coastal N Reductions'!AZ21", 193.0896)</f>
        <v>193.08959999999999</v>
      </c>
      <c r="AM65" s="43">
        <f>HYPERLINK("[N Only New retention.xlsx]'Coastal N Reductions'!AZ21", 217.6356)</f>
        <v>217.63560000000001</v>
      </c>
      <c r="AN65" s="43">
        <f>HYPERLINK("[N Only with New retention and Differentiation.xlsx]'Coastal N Reductions'!AZ21", 219.15)</f>
        <v>219.15</v>
      </c>
      <c r="AO65" s="41">
        <f>AM65-AL65</f>
        <v>24.546000000000021</v>
      </c>
      <c r="AP65" s="41">
        <f>AN65-AL65</f>
        <v>26.060400000000016</v>
      </c>
      <c r="AQ65" s="43">
        <f>HYPERLINK("[N Only Old retention.xlsx]'Coastal N Reductions'!BE21", 141.656)</f>
        <v>141.65600000000001</v>
      </c>
      <c r="AR65" s="43">
        <f>HYPERLINK("[N Only New retention.xlsx]'Coastal N Reductions'!BE21", 139.095999999975)</f>
        <v>139.09599999997499</v>
      </c>
      <c r="AS65" s="43">
        <f>HYPERLINK("[N Only with New retention and Differentiation.xlsx]'Coastal N Reductions'!BE21", 107.226)</f>
        <v>107.226</v>
      </c>
      <c r="AT65" s="42">
        <f>AR65-AQ65</f>
        <v>-2.5600000000250134</v>
      </c>
      <c r="AU65" s="42">
        <f>AS65-AQ65</f>
        <v>-34.430000000000007</v>
      </c>
      <c r="AV65" s="43">
        <f>HYPERLINK("[N Only Old retention.xlsx]'Coastal N Reductions'!BC21", 4.65)</f>
        <v>4.6500000000000004</v>
      </c>
      <c r="AW65" s="43">
        <f>HYPERLINK("[N Only New retention.xlsx]'Coastal N Reductions'!BC21", 12.08)</f>
        <v>12.08</v>
      </c>
      <c r="AX65" s="43">
        <f>HYPERLINK("[N Only with New retention and Differentiation.xlsx]'Coastal N Reductions'!BC21", 93.9)</f>
        <v>93.9</v>
      </c>
      <c r="AY65" s="41">
        <f>AW65-AV65</f>
        <v>7.43</v>
      </c>
      <c r="AZ65" s="41">
        <f>AX65-AV65</f>
        <v>89.25</v>
      </c>
      <c r="BA65" s="13"/>
      <c r="BB65" s="13"/>
      <c r="BC65" s="13"/>
      <c r="BD65" s="13"/>
      <c r="BE65" s="13"/>
      <c r="BF65" s="13"/>
      <c r="BG65" s="13"/>
      <c r="BH65" s="13"/>
      <c r="BI65" s="13"/>
      <c r="BJ65" s="13"/>
    </row>
    <row r="66" spans="1:62" x14ac:dyDescent="0.55000000000000004">
      <c r="A66" s="30">
        <v>125</v>
      </c>
      <c r="B66" s="6" t="s">
        <v>214</v>
      </c>
      <c r="C66" s="40">
        <f>HYPERLINK("[N Only Old retention.xlsx]'Coastal N Reductions'!BD22", 801.738)</f>
        <v>801.73800000000006</v>
      </c>
      <c r="D66" s="40">
        <f>HYPERLINK("[N Only New retention.xlsx]'Coastal N Reductions'!BD22", 1201.164)</f>
        <v>1201.164</v>
      </c>
      <c r="E66" s="40">
        <f>HYPERLINK("[N Only with New retention and Differentiation.xlsx]'Coastal N Reductions'!BD22", 1201.164)</f>
        <v>1201.164</v>
      </c>
      <c r="F66" s="41">
        <f>D66-C66</f>
        <v>399.42599999999993</v>
      </c>
      <c r="G66" s="41">
        <f>E66-C66</f>
        <v>399.42599999999993</v>
      </c>
      <c r="H66" s="40">
        <f>HYPERLINK("[N Only Old retention.xlsx]'Coastal N Reductions'!AV22", 169.314000000001)</f>
        <v>169.31400000000099</v>
      </c>
      <c r="I66" s="40">
        <f>HYPERLINK("[N Only New retention.xlsx]'Coastal N Reductions'!AV22", 17.832)</f>
        <v>17.832000000000001</v>
      </c>
      <c r="J66" s="40">
        <f>HYPERLINK("[N Only with New retention and Differentiation.xlsx]'Coastal N Reductions'!AV22", 17.832)</f>
        <v>17.832000000000001</v>
      </c>
      <c r="K66" s="42">
        <f>I66-H66</f>
        <v>-151.48200000000099</v>
      </c>
      <c r="L66" s="42">
        <f>J66-H66</f>
        <v>-151.48200000000099</v>
      </c>
      <c r="M66" s="40">
        <f>HYPERLINK("[N Only Old retention.xlsx]'Coastal N Reductions'!AX22", 108.43)</f>
        <v>108.43</v>
      </c>
      <c r="N66" s="40">
        <f>HYPERLINK("[N Only New retention.xlsx]'Coastal N Reductions'!AX22", 233.146)</f>
        <v>233.14599999999999</v>
      </c>
      <c r="O66" s="40">
        <f>HYPERLINK("[N Only with New retention and Differentiation.xlsx]'Coastal N Reductions'!AX22", 233.146)</f>
        <v>233.14599999999999</v>
      </c>
      <c r="P66" s="41">
        <f>N66-M66</f>
        <v>124.71599999999998</v>
      </c>
      <c r="Q66" s="41">
        <f>O66-M66</f>
        <v>124.71599999999998</v>
      </c>
      <c r="R66" s="40">
        <f>HYPERLINK("[N Only Old retention.xlsx]'Coastal N Reductions'!BF22", 14.9)</f>
        <v>14.9</v>
      </c>
      <c r="S66" s="40">
        <f>HYPERLINK("[N Only New retention.xlsx]'Coastal N Reductions'!BF22", 28.816)</f>
        <v>28.815999999999999</v>
      </c>
      <c r="T66" s="40">
        <f>HYPERLINK("[N Only with New retention and Differentiation.xlsx]'Coastal N Reductions'!BF22", 28.816)</f>
        <v>28.815999999999999</v>
      </c>
      <c r="U66" s="41">
        <f>S66-R66</f>
        <v>13.915999999999999</v>
      </c>
      <c r="V66" s="41">
        <f>T66-R66</f>
        <v>13.915999999999999</v>
      </c>
      <c r="W66" s="40">
        <f>HYPERLINK("[N Only Old retention.xlsx]'Coastal N Reductions'!BI22", 7.90799999999167)</f>
        <v>7.9079999999916701</v>
      </c>
      <c r="X66" s="40">
        <f>HYPERLINK("[N Only New retention.xlsx]'Coastal N Reductions'!BI22", 5.452)</f>
        <v>5.452</v>
      </c>
      <c r="Y66" s="40">
        <f>HYPERLINK("[N Only with New retention and Differentiation.xlsx]'Coastal N Reductions'!BI22", 5.452)</f>
        <v>5.452</v>
      </c>
      <c r="Z66" s="42">
        <f>X66-W66</f>
        <v>-2.4559999999916702</v>
      </c>
      <c r="AA66" s="42">
        <f>Y66-W66</f>
        <v>-2.4559999999916702</v>
      </c>
      <c r="AB66" s="26">
        <f>HYPERLINK("[N Only Old retention.xlsx]'Coastal N Reductions'!BS22", 900)</f>
        <v>900</v>
      </c>
      <c r="AC66" s="26">
        <f>HYPERLINK("[N Only New retention.xlsx]'Coastal N Reductions'!BS22", 970)</f>
        <v>970</v>
      </c>
      <c r="AD66" s="26">
        <f>HYPERLINK("[N Only with New retention and Differentiation.xlsx]'Coastal N Reductions'!BS22", 970)</f>
        <v>970</v>
      </c>
      <c r="AE66" s="16">
        <f>AC66-AB66</f>
        <v>70</v>
      </c>
      <c r="AF66" s="16">
        <f>AD66-AB66</f>
        <v>70</v>
      </c>
      <c r="AG66" s="40">
        <f>HYPERLINK("[N Only Old retention.xlsx]'Coastal N Reductions'!BH22", 1)</f>
        <v>1</v>
      </c>
      <c r="AH66" s="40">
        <f>HYPERLINK("[N Only New retention.xlsx]'Coastal N Reductions'!BH22", 0.2)</f>
        <v>0.2</v>
      </c>
      <c r="AI66" s="40">
        <f>HYPERLINK("[N Only with New retention and Differentiation.xlsx]'Coastal N Reductions'!BH22", 0.2)</f>
        <v>0.2</v>
      </c>
      <c r="AJ66" s="42">
        <f>AH66-AG66</f>
        <v>-0.8</v>
      </c>
      <c r="AK66" s="42">
        <f>AI66-AG66</f>
        <v>-0.8</v>
      </c>
      <c r="AL66" s="40">
        <f>HYPERLINK("[N Only Old retention.xlsx]'Coastal N Reductions'!AZ22", 8.3508)</f>
        <v>8.3507999999999996</v>
      </c>
      <c r="AM66" s="18"/>
      <c r="AN66" s="18"/>
      <c r="AO66" s="42">
        <f>AM66-AL66</f>
        <v>-8.3507999999999996</v>
      </c>
      <c r="AP66" s="42">
        <f>AN66-AL66</f>
        <v>-8.3507999999999996</v>
      </c>
      <c r="AQ66" s="40">
        <f>HYPERLINK("[N Only Old retention.xlsx]'Coastal N Reductions'!BE22", 1.15)</f>
        <v>1.1499999999999999</v>
      </c>
      <c r="AR66" s="40">
        <f>HYPERLINK("[N Only New retention.xlsx]'Coastal N Reductions'!BE22", 1.686)</f>
        <v>1.6859999999999999</v>
      </c>
      <c r="AS66" s="40">
        <f>HYPERLINK("[N Only with New retention and Differentiation.xlsx]'Coastal N Reductions'!BE22", 1.686)</f>
        <v>1.6859999999999999</v>
      </c>
      <c r="AT66" s="41">
        <f>AR66-AQ66</f>
        <v>0.53600000000000003</v>
      </c>
      <c r="AU66" s="41">
        <f>AS66-AQ66</f>
        <v>0.53600000000000003</v>
      </c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</row>
    <row r="67" spans="1:62" x14ac:dyDescent="0.55000000000000004">
      <c r="A67" s="31">
        <v>127</v>
      </c>
      <c r="B67" s="5" t="s">
        <v>215</v>
      </c>
      <c r="C67" s="43">
        <f>HYPERLINK("[N Only Old retention.xlsx]'Coastal N Reductions'!BD23", 91.4899999999744)</f>
        <v>91.489999999974401</v>
      </c>
      <c r="D67" s="43">
        <f>HYPERLINK("[N Only New retention.xlsx]'Coastal N Reductions'!BD23", 1.93)</f>
        <v>1.93</v>
      </c>
      <c r="E67" s="13"/>
      <c r="F67" s="42">
        <f>D67-C67</f>
        <v>-89.559999999974394</v>
      </c>
      <c r="G67" s="42">
        <f>E67-C67</f>
        <v>-91.489999999974401</v>
      </c>
      <c r="H67" s="43">
        <f>HYPERLINK("[N Only Old retention.xlsx]'Coastal N Reductions'!AV23", 106.728)</f>
        <v>106.72799999999999</v>
      </c>
      <c r="I67" s="43">
        <f>HYPERLINK("[N Only New retention.xlsx]'Coastal N Reductions'!AV23", 16.194)</f>
        <v>16.193999999999999</v>
      </c>
      <c r="J67" s="43">
        <f>HYPERLINK("[N Only with New retention and Differentiation.xlsx]'Coastal N Reductions'!AV23", 16.194)</f>
        <v>16.193999999999999</v>
      </c>
      <c r="K67" s="42">
        <f>I67-H67</f>
        <v>-90.533999999999992</v>
      </c>
      <c r="L67" s="42">
        <f>J67-H67</f>
        <v>-90.533999999999992</v>
      </c>
      <c r="M67" s="43">
        <f>HYPERLINK("[N Only Old retention.xlsx]'Coastal N Reductions'!AX23", 6.552)</f>
        <v>6.5519999999999996</v>
      </c>
      <c r="N67" s="43">
        <f>HYPERLINK("[N Only New retention.xlsx]'Coastal N Reductions'!AX23", 2.882)</f>
        <v>2.8820000000000001</v>
      </c>
      <c r="O67" s="43">
        <f>HYPERLINK("[N Only with New retention and Differentiation.xlsx]'Coastal N Reductions'!AX23", 2.882)</f>
        <v>2.8820000000000001</v>
      </c>
      <c r="P67" s="42">
        <f>N67-M67</f>
        <v>-3.6699999999999995</v>
      </c>
      <c r="Q67" s="42">
        <f>O67-M67</f>
        <v>-3.6699999999999995</v>
      </c>
      <c r="R67" s="43">
        <f>HYPERLINK("[N Only Old retention.xlsx]'Coastal N Reductions'!BF23", 1.93)</f>
        <v>1.93</v>
      </c>
      <c r="S67" s="43">
        <f>HYPERLINK("[N Only New retention.xlsx]'Coastal N Reductions'!BF23", 1.09)</f>
        <v>1.0900000000000001</v>
      </c>
      <c r="T67" s="43">
        <f>HYPERLINK("[N Only with New retention and Differentiation.xlsx]'Coastal N Reductions'!BF23", 18.98)</f>
        <v>18.98</v>
      </c>
      <c r="U67" s="42">
        <f>S67-R67</f>
        <v>-0.83999999999999986</v>
      </c>
      <c r="V67" s="41">
        <f>T67-R67</f>
        <v>17.05</v>
      </c>
      <c r="W67" s="13"/>
      <c r="X67" s="43">
        <f>HYPERLINK("[N Only New retention.xlsx]'Coastal N Reductions'!BI23", 24.948)</f>
        <v>24.948</v>
      </c>
      <c r="Y67" s="43">
        <f>HYPERLINK("[N Only with New retention and Differentiation.xlsx]'Coastal N Reductions'!BI23", 25.0579999999947)</f>
        <v>25.057999999994699</v>
      </c>
      <c r="Z67" s="41">
        <f>X67-W67</f>
        <v>24.948</v>
      </c>
      <c r="AA67" s="41">
        <f>Y67-W67</f>
        <v>25.057999999994699</v>
      </c>
      <c r="AB67" s="13"/>
      <c r="AC67" s="13"/>
      <c r="AD67" s="13"/>
      <c r="AE67" s="13"/>
      <c r="AF67" s="13"/>
      <c r="AG67" s="43">
        <f>HYPERLINK("[N Only Old retention.xlsx]'Coastal N Reductions'!BH23", 0.08)</f>
        <v>0.08</v>
      </c>
      <c r="AH67" s="43">
        <f>HYPERLINK("[N Only New retention.xlsx]'Coastal N Reductions'!BH23", 0.39)</f>
        <v>0.39</v>
      </c>
      <c r="AI67" s="43">
        <f>HYPERLINK("[N Only with New retention and Differentiation.xlsx]'Coastal N Reductions'!BH23", 0.08)</f>
        <v>0.08</v>
      </c>
      <c r="AJ67" s="41">
        <f>AH67-AG67</f>
        <v>0.31</v>
      </c>
      <c r="AK67" s="13"/>
      <c r="AL67" s="43">
        <f>HYPERLINK("[N Only Old retention.xlsx]'Coastal N Reductions'!AZ23", 82.4808)</f>
        <v>82.480800000000002</v>
      </c>
      <c r="AM67" s="43">
        <f>HYPERLINK("[N Only New retention.xlsx]'Coastal N Reductions'!AZ23", 55.251)</f>
        <v>55.250999999999998</v>
      </c>
      <c r="AN67" s="13"/>
      <c r="AO67" s="42">
        <f>AM67-AL67</f>
        <v>-27.229800000000004</v>
      </c>
      <c r="AP67" s="42">
        <f>AN67-AL67</f>
        <v>-82.480800000000002</v>
      </c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</row>
    <row r="68" spans="1:62" x14ac:dyDescent="0.55000000000000004">
      <c r="A68" s="30">
        <v>128</v>
      </c>
      <c r="B68" s="6" t="s">
        <v>216</v>
      </c>
      <c r="C68" s="40">
        <f>HYPERLINK("[N Only Old retention.xlsx]'Coastal N Reductions'!BD24", 4456.40599999998)</f>
        <v>4456.4059999999799</v>
      </c>
      <c r="D68" s="40">
        <f>HYPERLINK("[N Only New retention.xlsx]'Coastal N Reductions'!BD24", 5389.13544760751)</f>
        <v>5389.1354476075103</v>
      </c>
      <c r="E68" s="40">
        <f>HYPERLINK("[N Only with New retention and Differentiation.xlsx]'Coastal N Reductions'!BD24", 5108.384)</f>
        <v>5108.384</v>
      </c>
      <c r="F68" s="41">
        <f>D68-C68</f>
        <v>932.72944760753035</v>
      </c>
      <c r="G68" s="41">
        <f>E68-C68</f>
        <v>651.97800000002007</v>
      </c>
      <c r="H68" s="40">
        <f>HYPERLINK("[N Only Old retention.xlsx]'Coastal N Reductions'!AV24", 2824.746)</f>
        <v>2824.7460000000001</v>
      </c>
      <c r="I68" s="40">
        <f>HYPERLINK("[N Only New retention.xlsx]'Coastal N Reductions'!AV24", 2889.4)</f>
        <v>2889.4</v>
      </c>
      <c r="J68" s="40">
        <f>HYPERLINK("[N Only with New retention and Differentiation.xlsx]'Coastal N Reductions'!AV24", 2889.328)</f>
        <v>2889.328</v>
      </c>
      <c r="K68" s="41">
        <f>I68-H68</f>
        <v>64.653999999999996</v>
      </c>
      <c r="L68" s="41">
        <f>J68-H68</f>
        <v>64.58199999999988</v>
      </c>
      <c r="M68" s="40">
        <f>HYPERLINK("[N Only Old retention.xlsx]'Coastal N Reductions'!AX24", 885.254)</f>
        <v>885.25400000000002</v>
      </c>
      <c r="N68" s="40">
        <f>HYPERLINK("[N Only New retention.xlsx]'Coastal N Reductions'!AX24", 1145.106)</f>
        <v>1145.106</v>
      </c>
      <c r="O68" s="40">
        <f>HYPERLINK("[N Only with New retention and Differentiation.xlsx]'Coastal N Reductions'!AX24", 1145.106)</f>
        <v>1145.106</v>
      </c>
      <c r="P68" s="41">
        <f>N68-M68</f>
        <v>259.85199999999998</v>
      </c>
      <c r="Q68" s="41">
        <f>O68-M68</f>
        <v>259.85199999999998</v>
      </c>
      <c r="R68" s="40">
        <f>HYPERLINK("[N Only Old retention.xlsx]'Coastal N Reductions'!BF24", 131.098)</f>
        <v>131.09800000000001</v>
      </c>
      <c r="S68" s="40">
        <f>HYPERLINK("[N Only New retention.xlsx]'Coastal N Reductions'!BF24", 17.2899999999613)</f>
        <v>17.289999999961299</v>
      </c>
      <c r="T68" s="40">
        <f>HYPERLINK("[N Only with New retention and Differentiation.xlsx]'Coastal N Reductions'!BF24", 302.079447607511)</f>
        <v>302.07944760751099</v>
      </c>
      <c r="U68" s="42">
        <f>S68-R68</f>
        <v>-113.80800000003872</v>
      </c>
      <c r="V68" s="41">
        <f>T68-R68</f>
        <v>170.98144760751097</v>
      </c>
      <c r="W68" s="40">
        <f>HYPERLINK("[N Only Old retention.xlsx]'Coastal N Reductions'!BI24", 134.658)</f>
        <v>134.65799999999999</v>
      </c>
      <c r="X68" s="40">
        <f>HYPERLINK("[N Only New retention.xlsx]'Coastal N Reductions'!BI24", 177.372)</f>
        <v>177.37200000000001</v>
      </c>
      <c r="Y68" s="40">
        <f>HYPERLINK("[N Only with New retention and Differentiation.xlsx]'Coastal N Reductions'!BI24", 177.372)</f>
        <v>177.37200000000001</v>
      </c>
      <c r="Z68" s="41">
        <f>X68-W68</f>
        <v>42.714000000000027</v>
      </c>
      <c r="AA68" s="41">
        <f>Y68-W68</f>
        <v>42.714000000000027</v>
      </c>
      <c r="AB68" s="18"/>
      <c r="AC68" s="18"/>
      <c r="AD68" s="18"/>
      <c r="AE68" s="18"/>
      <c r="AF68" s="18"/>
      <c r="AG68" s="40">
        <f>HYPERLINK("[N Only Old retention.xlsx]'Coastal N Reductions'!BH24", 46.162)</f>
        <v>46.161999999999999</v>
      </c>
      <c r="AH68" s="40">
        <f>HYPERLINK("[N Only New retention.xlsx]'Coastal N Reductions'!BH24", 71.72)</f>
        <v>71.72</v>
      </c>
      <c r="AI68" s="40">
        <f>HYPERLINK("[N Only with New retention and Differentiation.xlsx]'Coastal N Reductions'!BH24", 71.72)</f>
        <v>71.72</v>
      </c>
      <c r="AJ68" s="41">
        <f>AH68-AG68</f>
        <v>25.558</v>
      </c>
      <c r="AK68" s="41">
        <f>AI68-AG68</f>
        <v>25.558</v>
      </c>
      <c r="AL68" s="40">
        <f>HYPERLINK("[N Only Old retention.xlsx]'Coastal N Reductions'!AZ24", 1569.6684)</f>
        <v>1569.6684</v>
      </c>
      <c r="AM68" s="40">
        <f>HYPERLINK("[N Only New retention.xlsx]'Coastal N Reductions'!AZ24", 1463.3982)</f>
        <v>1463.3982000000001</v>
      </c>
      <c r="AN68" s="40">
        <f>HYPERLINK("[N Only with New retention and Differentiation.xlsx]'Coastal N Reductions'!AZ24", 1482.6384)</f>
        <v>1482.6384</v>
      </c>
      <c r="AO68" s="42">
        <f>AM68-AL68</f>
        <v>-106.27019999999993</v>
      </c>
      <c r="AP68" s="42">
        <f>AN68-AL68</f>
        <v>-87.029999999999973</v>
      </c>
      <c r="AQ68" s="40">
        <f>HYPERLINK("[N Only Old retention.xlsx]'Coastal N Reductions'!BE24", 0.21)</f>
        <v>0.21</v>
      </c>
      <c r="AR68" s="40">
        <f>HYPERLINK("[N Only New retention.xlsx]'Coastal N Reductions'!BE24", 2.19)</f>
        <v>2.19</v>
      </c>
      <c r="AS68" s="40">
        <f>HYPERLINK("[N Only with New retention and Differentiation.xlsx]'Coastal N Reductions'!BE24", 3.8685523924894)</f>
        <v>3.8685523924893999</v>
      </c>
      <c r="AT68" s="41">
        <f>AR68-AQ68</f>
        <v>1.98</v>
      </c>
      <c r="AU68" s="41">
        <f>AS68-AQ68</f>
        <v>3.6585523924893999</v>
      </c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</row>
    <row r="69" spans="1:62" x14ac:dyDescent="0.55000000000000004">
      <c r="A69" s="31">
        <v>129</v>
      </c>
      <c r="B69" s="5" t="s">
        <v>217</v>
      </c>
      <c r="C69" s="13"/>
      <c r="D69" s="13"/>
      <c r="E69" s="13"/>
      <c r="F69" s="13"/>
      <c r="G69" s="13"/>
      <c r="H69" s="43">
        <f>HYPERLINK("[N Only Old retention.xlsx]'Coastal N Reductions'!AV25", 1401.524)</f>
        <v>1401.5239999999999</v>
      </c>
      <c r="I69" s="43">
        <f>HYPERLINK("[N Only New retention.xlsx]'Coastal N Reductions'!AV25", 1307.858)</f>
        <v>1307.8579999999999</v>
      </c>
      <c r="J69" s="43">
        <f>HYPERLINK("[N Only with New retention and Differentiation.xlsx]'Coastal N Reductions'!AV25", 1541.52)</f>
        <v>1541.52</v>
      </c>
      <c r="K69" s="42">
        <f>I69-H69</f>
        <v>-93.66599999999994</v>
      </c>
      <c r="L69" s="41">
        <f>J69-H69</f>
        <v>139.99600000000009</v>
      </c>
      <c r="M69" s="43">
        <f>HYPERLINK("[N Only Old retention.xlsx]'Coastal N Reductions'!AX25", 29.614)</f>
        <v>29.614000000000001</v>
      </c>
      <c r="N69" s="43">
        <f>HYPERLINK("[N Only New retention.xlsx]'Coastal N Reductions'!AX25", 64.374)</f>
        <v>64.373999999999995</v>
      </c>
      <c r="O69" s="43">
        <f>HYPERLINK("[N Only with New retention and Differentiation.xlsx]'Coastal N Reductions'!AX25", 77.594)</f>
        <v>77.593999999999994</v>
      </c>
      <c r="P69" s="41">
        <f>N69-M69</f>
        <v>34.759999999999991</v>
      </c>
      <c r="Q69" s="41">
        <f>O69-M69</f>
        <v>47.97999999999999</v>
      </c>
      <c r="R69" s="43">
        <f>HYPERLINK("[N Only Old retention.xlsx]'Coastal N Reductions'!BF25", 2549.338)</f>
        <v>2549.3380000000002</v>
      </c>
      <c r="S69" s="43">
        <f>HYPERLINK("[N Only New retention.xlsx]'Coastal N Reductions'!BF25", 1951.338)</f>
        <v>1951.338</v>
      </c>
      <c r="T69" s="43">
        <f>HYPERLINK("[N Only with New retention and Differentiation.xlsx]'Coastal N Reductions'!BF25", 1876.888)</f>
        <v>1876.8879999999999</v>
      </c>
      <c r="U69" s="42">
        <f>S69-R69</f>
        <v>-598.00000000000023</v>
      </c>
      <c r="V69" s="42">
        <f>T69-R69</f>
        <v>-672.45000000000027</v>
      </c>
      <c r="W69" s="43">
        <f>HYPERLINK("[N Only Old retention.xlsx]'Coastal N Reductions'!BI25", 48.936)</f>
        <v>48.936</v>
      </c>
      <c r="X69" s="43">
        <f>HYPERLINK("[N Only New retention.xlsx]'Coastal N Reductions'!BI25", 259.176)</f>
        <v>259.17599999999999</v>
      </c>
      <c r="Y69" s="43">
        <f>HYPERLINK("[N Only with New retention and Differentiation.xlsx]'Coastal N Reductions'!BI25", 268.68)</f>
        <v>268.68</v>
      </c>
      <c r="Z69" s="41">
        <f>X69-W69</f>
        <v>210.23999999999998</v>
      </c>
      <c r="AA69" s="41">
        <f>Y69-W69</f>
        <v>219.744</v>
      </c>
      <c r="AB69" s="13"/>
      <c r="AC69" s="13"/>
      <c r="AD69" s="13"/>
      <c r="AE69" s="13"/>
      <c r="AF69" s="13"/>
      <c r="AG69" s="43">
        <f>HYPERLINK("[N Only Old retention.xlsx]'Coastal N Reductions'!BH25", 379.878972088719)</f>
        <v>379.87897208871902</v>
      </c>
      <c r="AH69" s="43">
        <f>HYPERLINK("[N Only New retention.xlsx]'Coastal N Reductions'!BH25", 517.196972088701)</f>
        <v>517.19697208870105</v>
      </c>
      <c r="AI69" s="43">
        <f>HYPERLINK("[N Only with New retention and Differentiation.xlsx]'Coastal N Reductions'!BH25", 522.106972088719)</f>
        <v>522.10697208871898</v>
      </c>
      <c r="AJ69" s="41">
        <f>AH69-AG69</f>
        <v>137.31799999998202</v>
      </c>
      <c r="AK69" s="41">
        <f>AI69-AG69</f>
        <v>142.22799999999995</v>
      </c>
      <c r="AL69" s="43">
        <f>HYPERLINK("[N Only Old retention.xlsx]'Coastal N Reductions'!AZ25", 0.4218)</f>
        <v>0.42180000000000001</v>
      </c>
      <c r="AM69" s="43">
        <f>HYPERLINK("[N Only New retention.xlsx]'Coastal N Reductions'!AZ25", 68.1306)</f>
        <v>68.130600000000001</v>
      </c>
      <c r="AN69" s="43">
        <f>HYPERLINK("[N Only with New retention and Differentiation.xlsx]'Coastal N Reductions'!AZ25", 55.242)</f>
        <v>55.241999999999997</v>
      </c>
      <c r="AO69" s="41">
        <f>AM69-AL69</f>
        <v>67.708799999999997</v>
      </c>
      <c r="AP69" s="41">
        <f>AN69-AL69</f>
        <v>54.8202</v>
      </c>
      <c r="AQ69" s="43">
        <f>HYPERLINK("[N Only Old retention.xlsx]'Coastal N Reductions'!BE25", 3.686)</f>
        <v>3.6859999999999999</v>
      </c>
      <c r="AR69" s="43">
        <f>HYPERLINK("[N Only New retention.xlsx]'Coastal N Reductions'!BE25", 26.368)</f>
        <v>26.367999999999999</v>
      </c>
      <c r="AS69" s="43">
        <f>HYPERLINK("[N Only with New retention and Differentiation.xlsx]'Coastal N Reductions'!BE25", 28.368)</f>
        <v>28.367999999999999</v>
      </c>
      <c r="AT69" s="41">
        <f>AR69-AQ69</f>
        <v>22.681999999999999</v>
      </c>
      <c r="AU69" s="41">
        <f>AS69-AQ69</f>
        <v>24.681999999999999</v>
      </c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</row>
    <row r="70" spans="1:62" x14ac:dyDescent="0.55000000000000004">
      <c r="A70" s="30">
        <v>130</v>
      </c>
      <c r="B70" s="6" t="s">
        <v>218</v>
      </c>
      <c r="C70" s="18"/>
      <c r="D70" s="18"/>
      <c r="E70" s="18"/>
      <c r="F70" s="18"/>
      <c r="G70" s="18"/>
      <c r="H70" s="40">
        <f>HYPERLINK("[N Only Old retention.xlsx]'Coastal N Reductions'!AV26", 171.354)</f>
        <v>171.35400000000001</v>
      </c>
      <c r="I70" s="18"/>
      <c r="J70" s="18"/>
      <c r="K70" s="42">
        <f>I70-H70</f>
        <v>-171.35400000000001</v>
      </c>
      <c r="L70" s="42">
        <f>J70-H70</f>
        <v>-171.35400000000001</v>
      </c>
      <c r="M70" s="18"/>
      <c r="N70" s="18"/>
      <c r="O70" s="18"/>
      <c r="P70" s="18"/>
      <c r="Q70" s="18"/>
      <c r="R70" s="40">
        <f>HYPERLINK("[N Only Old retention.xlsx]'Coastal N Reductions'!BF26", 655.263999999929)</f>
        <v>655.26399999992896</v>
      </c>
      <c r="S70" s="40">
        <f>HYPERLINK("[N Only New retention.xlsx]'Coastal N Reductions'!BF26", 656.948)</f>
        <v>656.94799999999998</v>
      </c>
      <c r="T70" s="40">
        <f>HYPERLINK("[N Only with New retention and Differentiation.xlsx]'Coastal N Reductions'!BF26", 586.328)</f>
        <v>586.32799999999997</v>
      </c>
      <c r="U70" s="41">
        <f>S70-R70</f>
        <v>1.6840000000710234</v>
      </c>
      <c r="V70" s="42">
        <f>T70-R70</f>
        <v>-68.935999999928981</v>
      </c>
      <c r="W70" s="40">
        <f>HYPERLINK("[N Only Old retention.xlsx]'Coastal N Reductions'!BI26", 16.104)</f>
        <v>16.103999999999999</v>
      </c>
      <c r="X70" s="40">
        <f>HYPERLINK("[N Only New retention.xlsx]'Coastal N Reductions'!BI26", 31.5939999999948)</f>
        <v>31.5939999999948</v>
      </c>
      <c r="Y70" s="40">
        <f>HYPERLINK("[N Only with New retention and Differentiation.xlsx]'Coastal N Reductions'!BI26", 40.524)</f>
        <v>40.524000000000001</v>
      </c>
      <c r="Z70" s="41">
        <f>X70-W70</f>
        <v>15.489999999994801</v>
      </c>
      <c r="AA70" s="41">
        <f>Y70-W70</f>
        <v>24.42</v>
      </c>
      <c r="AB70" s="18"/>
      <c r="AC70" s="18"/>
      <c r="AD70" s="18"/>
      <c r="AE70" s="18"/>
      <c r="AF70" s="18"/>
      <c r="AG70" s="40">
        <f>HYPERLINK("[N Only Old retention.xlsx]'Coastal N Reductions'!BH26", 268.129957645385)</f>
        <v>268.12995764538499</v>
      </c>
      <c r="AH70" s="40">
        <f>HYPERLINK("[N Only New retention.xlsx]'Coastal N Reductions'!BH26", 278.139957645415)</f>
        <v>278.139957645415</v>
      </c>
      <c r="AI70" s="40">
        <f>HYPERLINK("[N Only with New retention and Differentiation.xlsx]'Coastal N Reductions'!BH26", 283.859957645415)</f>
        <v>283.85995764541502</v>
      </c>
      <c r="AJ70" s="41">
        <f>AH70-AG70</f>
        <v>10.010000000030004</v>
      </c>
      <c r="AK70" s="41">
        <f>AI70-AG70</f>
        <v>15.730000000030032</v>
      </c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</row>
    <row r="71" spans="1:62" x14ac:dyDescent="0.55000000000000004">
      <c r="A71" s="31">
        <v>131</v>
      </c>
      <c r="B71" s="5" t="s">
        <v>219</v>
      </c>
      <c r="C71" s="43">
        <f>HYPERLINK("[N Only Old retention.xlsx]'Coastal N Reductions'!BD27", 47.452)</f>
        <v>47.451999999999998</v>
      </c>
      <c r="D71" s="43">
        <f>HYPERLINK("[N Only New retention.xlsx]'Coastal N Reductions'!BD27", 14.91)</f>
        <v>14.91</v>
      </c>
      <c r="E71" s="43">
        <f>HYPERLINK("[N Only with New retention and Differentiation.xlsx]'Coastal N Reductions'!BD27", 2353.12335135135)</f>
        <v>2353.1233513513498</v>
      </c>
      <c r="F71" s="42">
        <f>D71-C71</f>
        <v>-32.542000000000002</v>
      </c>
      <c r="G71" s="41">
        <f>E71-C71</f>
        <v>2305.6713513513496</v>
      </c>
      <c r="H71" s="43">
        <f>HYPERLINK("[N Only Old retention.xlsx]'Coastal N Reductions'!AV27", 3974.784)</f>
        <v>3974.7840000000001</v>
      </c>
      <c r="I71" s="43">
        <f>HYPERLINK("[N Only New retention.xlsx]'Coastal N Reductions'!AV27", 3616.598)</f>
        <v>3616.598</v>
      </c>
      <c r="J71" s="43">
        <f>HYPERLINK("[N Only with New retention and Differentiation.xlsx]'Coastal N Reductions'!AV27", 4089.684)</f>
        <v>4089.6840000000002</v>
      </c>
      <c r="K71" s="42">
        <f>I71-H71</f>
        <v>-358.18600000000015</v>
      </c>
      <c r="L71" s="41">
        <f>J71-H71</f>
        <v>114.90000000000009</v>
      </c>
      <c r="M71" s="43">
        <f>HYPERLINK("[N Only Old retention.xlsx]'Coastal N Reductions'!AX27", 73.026)</f>
        <v>73.025999999999996</v>
      </c>
      <c r="N71" s="43">
        <f>HYPERLINK("[N Only New retention.xlsx]'Coastal N Reductions'!AX27", 85.702)</f>
        <v>85.701999999999998</v>
      </c>
      <c r="O71" s="43">
        <f>HYPERLINK("[N Only with New retention and Differentiation.xlsx]'Coastal N Reductions'!AX27", 85.702)</f>
        <v>85.701999999999998</v>
      </c>
      <c r="P71" s="41">
        <f>N71-M71</f>
        <v>12.676000000000002</v>
      </c>
      <c r="Q71" s="41">
        <f>O71-M71</f>
        <v>12.676000000000002</v>
      </c>
      <c r="R71" s="43">
        <f>HYPERLINK("[N Only Old retention.xlsx]'Coastal N Reductions'!BF27", 6543.05735135135)</f>
        <v>6543.05735135135</v>
      </c>
      <c r="S71" s="43">
        <f>HYPERLINK("[N Only New retention.xlsx]'Coastal N Reductions'!BF27", 7897.05135135135)</f>
        <v>7897.0513513513497</v>
      </c>
      <c r="T71" s="43">
        <f>HYPERLINK("[N Only with New retention and Differentiation.xlsx]'Coastal N Reductions'!BF27", 5284.474)</f>
        <v>5284.4740000000002</v>
      </c>
      <c r="U71" s="41">
        <f>S71-R71</f>
        <v>1353.9939999999997</v>
      </c>
      <c r="V71" s="42">
        <f>T71-R71</f>
        <v>-1258.5833513513498</v>
      </c>
      <c r="W71" s="43">
        <f>HYPERLINK("[N Only Old retention.xlsx]'Coastal N Reductions'!BI27", 523.290991150443)</f>
        <v>523.29099115044301</v>
      </c>
      <c r="X71" s="13"/>
      <c r="Y71" s="13"/>
      <c r="Z71" s="42">
        <f>X71-W71</f>
        <v>-523.29099115044301</v>
      </c>
      <c r="AA71" s="42">
        <f>Y71-W71</f>
        <v>-523.29099115044301</v>
      </c>
      <c r="AB71" s="13"/>
      <c r="AC71" s="13"/>
      <c r="AD71" s="13"/>
      <c r="AE71" s="13"/>
      <c r="AF71" s="13"/>
      <c r="AG71" s="43">
        <f>HYPERLINK("[N Only Old retention.xlsx]'Coastal N Reductions'!BH27", 1256.52081419383)</f>
        <v>1256.5208141938299</v>
      </c>
      <c r="AH71" s="43">
        <f>HYPERLINK("[N Only New retention.xlsx]'Coastal N Reductions'!BH27", 945.795550098878)</f>
        <v>945.79555009887804</v>
      </c>
      <c r="AI71" s="43">
        <f>HYPERLINK("[N Only with New retention and Differentiation.xlsx]'Coastal N Reductions'!BH27", 1043.99555009888)</f>
        <v>1043.9955500988799</v>
      </c>
      <c r="AJ71" s="42">
        <f>AH71-AG71</f>
        <v>-310.72526409495185</v>
      </c>
      <c r="AK71" s="42">
        <f>AI71-AG71</f>
        <v>-212.52526409494999</v>
      </c>
      <c r="AL71" s="43">
        <f>HYPERLINK("[N Only Old retention.xlsx]'Coastal N Reductions'!AZ27", 55.4076)</f>
        <v>55.407600000000002</v>
      </c>
      <c r="AM71" s="43">
        <f>HYPERLINK("[N Only New retention.xlsx]'Coastal N Reductions'!AZ27", 66.2832)</f>
        <v>66.283199999999994</v>
      </c>
      <c r="AN71" s="43">
        <f>HYPERLINK("[N Only with New retention and Differentiation.xlsx]'Coastal N Reductions'!AZ27", 61.8942)</f>
        <v>61.894199999999998</v>
      </c>
      <c r="AO71" s="41">
        <f>AM71-AL71</f>
        <v>10.875599999999991</v>
      </c>
      <c r="AP71" s="41">
        <f>AN71-AL71</f>
        <v>6.4865999999999957</v>
      </c>
      <c r="AQ71" s="43">
        <f>HYPERLINK("[N Only Old retention.xlsx]'Coastal N Reductions'!BE27", 0.0099999999999999)</f>
        <v>9.9999999999998996E-3</v>
      </c>
      <c r="AR71" s="13"/>
      <c r="AS71" s="13"/>
      <c r="AT71" s="42">
        <f>AR71-AQ71</f>
        <v>-9.9999999999998996E-3</v>
      </c>
      <c r="AU71" s="42">
        <f>AS71-AQ71</f>
        <v>-9.9999999999998996E-3</v>
      </c>
      <c r="AV71" s="13"/>
      <c r="AW71" s="13"/>
      <c r="AX71" s="13"/>
      <c r="AY71" s="13"/>
      <c r="AZ71" s="13"/>
      <c r="BA71" s="43">
        <f>HYPERLINK("[N Only Old retention.xlsx]'Coastal N Reductions'!BP27", 0.11)</f>
        <v>0.11</v>
      </c>
      <c r="BB71" s="13"/>
      <c r="BC71" s="13"/>
      <c r="BD71" s="42">
        <f>BB71-BA71</f>
        <v>-0.11</v>
      </c>
      <c r="BE71" s="42">
        <f>BC71-BA71</f>
        <v>-0.11</v>
      </c>
      <c r="BF71" s="13"/>
      <c r="BG71" s="13"/>
      <c r="BH71" s="13"/>
      <c r="BI71" s="13"/>
      <c r="BJ71" s="13"/>
    </row>
    <row r="72" spans="1:62" x14ac:dyDescent="0.55000000000000004">
      <c r="A72" s="30">
        <v>132</v>
      </c>
      <c r="B72" s="6" t="s">
        <v>220</v>
      </c>
      <c r="C72" s="40">
        <f>HYPERLINK("[N Only Old retention.xlsx]'Coastal N Reductions'!BD28", 3691.13086725659)</f>
        <v>3691.1308672565901</v>
      </c>
      <c r="D72" s="40">
        <f>HYPERLINK("[N Only New retention.xlsx]'Coastal N Reductions'!BD28", 4315.77486725664)</f>
        <v>4315.7748672566404</v>
      </c>
      <c r="E72" s="40">
        <f>HYPERLINK("[N Only with New retention and Differentiation.xlsx]'Coastal N Reductions'!BD28", 5561.74086725657)</f>
        <v>5561.7408672565698</v>
      </c>
      <c r="F72" s="41">
        <f>D72-C72</f>
        <v>624.64400000005026</v>
      </c>
      <c r="G72" s="41">
        <f>E72-C72</f>
        <v>1870.6099999999797</v>
      </c>
      <c r="H72" s="40">
        <f>HYPERLINK("[N Only Old retention.xlsx]'Coastal N Reductions'!AV28", 15646.866)</f>
        <v>15646.866</v>
      </c>
      <c r="I72" s="40">
        <f>HYPERLINK("[N Only New retention.xlsx]'Coastal N Reductions'!AV28", 19624.218)</f>
        <v>19624.218000000001</v>
      </c>
      <c r="J72" s="40">
        <f>HYPERLINK("[N Only with New retention and Differentiation.xlsx]'Coastal N Reductions'!AV28", 20549.154)</f>
        <v>20549.153999999999</v>
      </c>
      <c r="K72" s="41">
        <f>I72-H72</f>
        <v>3977.3520000000008</v>
      </c>
      <c r="L72" s="41">
        <f>J72-H72</f>
        <v>4902.2879999999986</v>
      </c>
      <c r="M72" s="40">
        <f>HYPERLINK("[N Only Old retention.xlsx]'Coastal N Reductions'!AX28", 89.548)</f>
        <v>89.548000000000002</v>
      </c>
      <c r="N72" s="40">
        <f>HYPERLINK("[N Only New retention.xlsx]'Coastal N Reductions'!AX28", 62.134)</f>
        <v>62.134</v>
      </c>
      <c r="O72" s="40">
        <f>HYPERLINK("[N Only with New retention and Differentiation.xlsx]'Coastal N Reductions'!AX28", 67.764)</f>
        <v>67.763999999999996</v>
      </c>
      <c r="P72" s="42">
        <f>N72-M72</f>
        <v>-27.414000000000001</v>
      </c>
      <c r="Q72" s="42">
        <f>O72-M72</f>
        <v>-21.784000000000006</v>
      </c>
      <c r="R72" s="40">
        <f>HYPERLINK("[N Only Old retention.xlsx]'Coastal N Reductions'!BF28", 17124.5543047926)</f>
        <v>17124.5543047926</v>
      </c>
      <c r="S72" s="40">
        <f>HYPERLINK("[N Only New retention.xlsx]'Coastal N Reductions'!BF28", 19254.565242236)</f>
        <v>19254.565242236</v>
      </c>
      <c r="T72" s="40">
        <f>HYPERLINK("[N Only with New retention and Differentiation.xlsx]'Coastal N Reductions'!BF28", 16475.869242236)</f>
        <v>16475.869242236</v>
      </c>
      <c r="U72" s="41">
        <f>S72-R72</f>
        <v>2130.0109374433996</v>
      </c>
      <c r="V72" s="42">
        <f>T72-R72</f>
        <v>-648.68506255660031</v>
      </c>
      <c r="W72" s="40">
        <f>HYPERLINK("[N Only Old retention.xlsx]'Coastal N Reductions'!BI28", 4237.9525204496)</f>
        <v>4237.9525204496003</v>
      </c>
      <c r="X72" s="40">
        <f>HYPERLINK("[N Only New retention.xlsx]'Coastal N Reductions'!BI28", 1775.24017972692)</f>
        <v>1775.2401797269199</v>
      </c>
      <c r="Y72" s="40">
        <f>HYPERLINK("[N Only with New retention and Differentiation.xlsx]'Coastal N Reductions'!BI28", 2008.54617972692)</f>
        <v>2008.5461797269199</v>
      </c>
      <c r="Z72" s="42">
        <f>X72-W72</f>
        <v>-2462.7123407226804</v>
      </c>
      <c r="AA72" s="42">
        <f>Y72-W72</f>
        <v>-2229.4063407226804</v>
      </c>
      <c r="AB72" s="18"/>
      <c r="AC72" s="18"/>
      <c r="AD72" s="18"/>
      <c r="AE72" s="18"/>
      <c r="AF72" s="18"/>
      <c r="AG72" s="40">
        <f>HYPERLINK("[N Only Old retention.xlsx]'Coastal N Reductions'!BH28", 4666.59275297698)</f>
        <v>4666.5927529769797</v>
      </c>
      <c r="AH72" s="40">
        <f>HYPERLINK("[N Only New retention.xlsx]'Coastal N Reductions'!BH28", 4584.4541268013)</f>
        <v>4584.4541268012999</v>
      </c>
      <c r="AI72" s="40">
        <f>HYPERLINK("[N Only with New retention and Differentiation.xlsx]'Coastal N Reductions'!BH28", 4650.42812680132)</f>
        <v>4650.4281268013201</v>
      </c>
      <c r="AJ72" s="42">
        <f>AH72-AG72</f>
        <v>-82.138626175679747</v>
      </c>
      <c r="AK72" s="42">
        <f>AI72-AG72</f>
        <v>-16.164626175659578</v>
      </c>
      <c r="AL72" s="40">
        <f>HYPERLINK("[N Only Old retention.xlsx]'Coastal N Reductions'!AZ28", 55.2576)</f>
        <v>55.257599999999996</v>
      </c>
      <c r="AM72" s="40">
        <f>HYPERLINK("[N Only New retention.xlsx]'Coastal N Reductions'!AZ28", 23.1612)</f>
        <v>23.161200000000001</v>
      </c>
      <c r="AN72" s="40">
        <f>HYPERLINK("[N Only with New retention and Differentiation.xlsx]'Coastal N Reductions'!AZ28", 23.1612)</f>
        <v>23.161200000000001</v>
      </c>
      <c r="AO72" s="42">
        <f>AM72-AL72</f>
        <v>-32.096399999999996</v>
      </c>
      <c r="AP72" s="42">
        <f>AN72-AL72</f>
        <v>-32.096399999999996</v>
      </c>
      <c r="AQ72" s="40">
        <f>HYPERLINK("[N Only Old retention.xlsx]'Coastal N Reductions'!BE28", 173.589858490566)</f>
        <v>173.589858490566</v>
      </c>
      <c r="AR72" s="18"/>
      <c r="AS72" s="18"/>
      <c r="AT72" s="42">
        <f>AR72-AQ72</f>
        <v>-173.589858490566</v>
      </c>
      <c r="AU72" s="42">
        <f>AS72-AQ72</f>
        <v>-173.589858490566</v>
      </c>
      <c r="AV72" s="18"/>
      <c r="AW72" s="18"/>
      <c r="AX72" s="40">
        <f>HYPERLINK("[N Only with New retention and Differentiation.xlsx]'Coastal N Reductions'!BC28", 18.8)</f>
        <v>18.8</v>
      </c>
      <c r="AY72" s="18"/>
      <c r="AZ72" s="41">
        <f>AX72-AV72</f>
        <v>18.8</v>
      </c>
      <c r="BA72" s="40">
        <f>HYPERLINK("[N Only Old retention.xlsx]'Coastal N Reductions'!BP28", 0.08)</f>
        <v>0.08</v>
      </c>
      <c r="BB72" s="40">
        <f>HYPERLINK("[N Only New retention.xlsx]'Coastal N Reductions'!BP28", 0.24)</f>
        <v>0.24</v>
      </c>
      <c r="BC72" s="18"/>
      <c r="BD72" s="41">
        <f>BB72-BA72</f>
        <v>0.15999999999999998</v>
      </c>
      <c r="BE72" s="42">
        <f>BC72-BA72</f>
        <v>-0.08</v>
      </c>
      <c r="BF72" s="18"/>
      <c r="BG72" s="18"/>
      <c r="BH72" s="18"/>
      <c r="BI72" s="18"/>
      <c r="BJ72" s="18"/>
    </row>
    <row r="73" spans="1:62" x14ac:dyDescent="0.55000000000000004">
      <c r="A73" s="31">
        <v>133</v>
      </c>
      <c r="B73" s="5" t="s">
        <v>221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</row>
    <row r="74" spans="1:62" x14ac:dyDescent="0.55000000000000004">
      <c r="A74" s="30">
        <v>136</v>
      </c>
      <c r="B74" s="6" t="s">
        <v>222</v>
      </c>
      <c r="C74" s="40">
        <f>HYPERLINK("[N Only Old retention.xlsx]'Coastal N Reductions'!BD30", 9446.39799999933)</f>
        <v>9446.3979999993298</v>
      </c>
      <c r="D74" s="40">
        <f>HYPERLINK("[N Only New retention.xlsx]'Coastal N Reductions'!BD30", 7688.30799999998)</f>
        <v>7688.30799999998</v>
      </c>
      <c r="E74" s="40">
        <f>HYPERLINK("[N Only with New retention and Differentiation.xlsx]'Coastal N Reductions'!BD30", 7562.53999999997)</f>
        <v>7562.53999999997</v>
      </c>
      <c r="F74" s="42">
        <f>D74-C74</f>
        <v>-1758.0899999993499</v>
      </c>
      <c r="G74" s="42">
        <f>E74-C74</f>
        <v>-1883.8579999993599</v>
      </c>
      <c r="H74" s="40">
        <f>HYPERLINK("[N Only Old retention.xlsx]'Coastal N Reductions'!AV30", 2964.62)</f>
        <v>2964.62</v>
      </c>
      <c r="I74" s="40">
        <f>HYPERLINK("[N Only New retention.xlsx]'Coastal N Reductions'!AV30", 2066.556)</f>
        <v>2066.556</v>
      </c>
      <c r="J74" s="40">
        <f>HYPERLINK("[N Only with New retention and Differentiation.xlsx]'Coastal N Reductions'!AV30", 2071.822)</f>
        <v>2071.8220000000001</v>
      </c>
      <c r="K74" s="42">
        <f>I74-H74</f>
        <v>-898.06399999999985</v>
      </c>
      <c r="L74" s="42">
        <f>J74-H74</f>
        <v>-892.79799999999977</v>
      </c>
      <c r="M74" s="40">
        <f>HYPERLINK("[N Only Old retention.xlsx]'Coastal N Reductions'!AX30", 502.464)</f>
        <v>502.464</v>
      </c>
      <c r="N74" s="40">
        <f>HYPERLINK("[N Only New retention.xlsx]'Coastal N Reductions'!AX30", 358.102)</f>
        <v>358.10199999999998</v>
      </c>
      <c r="O74" s="40">
        <f>HYPERLINK("[N Only with New retention and Differentiation.xlsx]'Coastal N Reductions'!AX30", 358.102)</f>
        <v>358.10199999999998</v>
      </c>
      <c r="P74" s="42">
        <f>N74-M74</f>
        <v>-144.36200000000002</v>
      </c>
      <c r="Q74" s="42">
        <f>O74-M74</f>
        <v>-144.36200000000002</v>
      </c>
      <c r="R74" s="40">
        <f>HYPERLINK("[N Only Old retention.xlsx]'Coastal N Reductions'!BF30", 1471.27255870445)</f>
        <v>1471.2725587044499</v>
      </c>
      <c r="S74" s="40">
        <f>HYPERLINK("[N Only New retention.xlsx]'Coastal N Reductions'!BF30", 1068.71249279775)</f>
        <v>1068.71249279775</v>
      </c>
      <c r="T74" s="40">
        <f>HYPERLINK("[N Only with New retention and Differentiation.xlsx]'Coastal N Reductions'!BF30", 1181.05249279779)</f>
        <v>1181.0524927977899</v>
      </c>
      <c r="U74" s="42">
        <f>S74-R74</f>
        <v>-402.56006590669995</v>
      </c>
      <c r="V74" s="42">
        <f>T74-R74</f>
        <v>-290.22006590666001</v>
      </c>
      <c r="W74" s="40">
        <f>HYPERLINK("[N Only Old retention.xlsx]'Coastal N Reductions'!BI30", 0.396000000000001)</f>
        <v>0.39600000000000102</v>
      </c>
      <c r="X74" s="18"/>
      <c r="Y74" s="18"/>
      <c r="Z74" s="42">
        <f>X74-W74</f>
        <v>-0.39600000000000102</v>
      </c>
      <c r="AA74" s="42">
        <f>Y74-W74</f>
        <v>-0.39600000000000102</v>
      </c>
      <c r="AB74" s="18"/>
      <c r="AC74" s="18"/>
      <c r="AD74" s="18"/>
      <c r="AE74" s="18"/>
      <c r="AF74" s="18"/>
      <c r="AG74" s="40">
        <f>HYPERLINK("[N Only Old retention.xlsx]'Coastal N Reductions'!BH30", 650.49042895985)</f>
        <v>650.49042895984996</v>
      </c>
      <c r="AH74" s="40">
        <f>HYPERLINK("[N Only New retention.xlsx]'Coastal N Reductions'!BH30", 682.578919526067)</f>
        <v>682.57891952606701</v>
      </c>
      <c r="AI74" s="40">
        <f>HYPERLINK("[N Only with New retention and Differentiation.xlsx]'Coastal N Reductions'!BH30", 685.738919526118)</f>
        <v>685.73891952611802</v>
      </c>
      <c r="AJ74" s="41">
        <f>AH74-AG74</f>
        <v>32.088490566217047</v>
      </c>
      <c r="AK74" s="41">
        <f>AI74-AG74</f>
        <v>35.24849056626806</v>
      </c>
      <c r="AL74" s="40">
        <f>HYPERLINK("[N Only Old retention.xlsx]'Coastal N Reductions'!AZ30", 178.1898)</f>
        <v>178.18979999999999</v>
      </c>
      <c r="AM74" s="40">
        <f>HYPERLINK("[N Only New retention.xlsx]'Coastal N Reductions'!AZ30", 256.0182)</f>
        <v>256.01819999999998</v>
      </c>
      <c r="AN74" s="40">
        <f>HYPERLINK("[N Only with New retention and Differentiation.xlsx]'Coastal N Reductions'!AZ30", 256.0182)</f>
        <v>256.01819999999998</v>
      </c>
      <c r="AO74" s="41">
        <f>AM74-AL74</f>
        <v>77.828399999999988</v>
      </c>
      <c r="AP74" s="41">
        <f>AN74-AL74</f>
        <v>77.828399999999988</v>
      </c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</row>
    <row r="75" spans="1:62" x14ac:dyDescent="0.55000000000000004">
      <c r="A75" s="31">
        <v>137</v>
      </c>
      <c r="B75" s="5" t="s">
        <v>223</v>
      </c>
      <c r="C75" s="43">
        <f>HYPERLINK("[N Only Old retention.xlsx]'Coastal N Reductions'!BD31", 332.001999999934)</f>
        <v>332.00199999993401</v>
      </c>
      <c r="D75" s="43">
        <f>HYPERLINK("[N Only New retention.xlsx]'Coastal N Reductions'!BD31", 279.086)</f>
        <v>279.08600000000001</v>
      </c>
      <c r="E75" s="43">
        <f>HYPERLINK("[N Only with New retention and Differentiation.xlsx]'Coastal N Reductions'!BD31", 279.086)</f>
        <v>279.08600000000001</v>
      </c>
      <c r="F75" s="42">
        <f>D75-C75</f>
        <v>-52.915999999934002</v>
      </c>
      <c r="G75" s="42">
        <f>E75-C75</f>
        <v>-52.915999999934002</v>
      </c>
      <c r="H75" s="43">
        <f>HYPERLINK("[N Only Old retention.xlsx]'Coastal N Reductions'!AV31", 26.016)</f>
        <v>26.015999999999998</v>
      </c>
      <c r="I75" s="13"/>
      <c r="J75" s="13"/>
      <c r="K75" s="42">
        <f>I75-H75</f>
        <v>-26.015999999999998</v>
      </c>
      <c r="L75" s="42">
        <f>J75-H75</f>
        <v>-26.015999999999998</v>
      </c>
      <c r="M75" s="43">
        <f>HYPERLINK("[N Only Old retention.xlsx]'Coastal N Reductions'!AX31", 18.096)</f>
        <v>18.096</v>
      </c>
      <c r="N75" s="43">
        <f>HYPERLINK("[N Only New retention.xlsx]'Coastal N Reductions'!AX31", 13.81)</f>
        <v>13.81</v>
      </c>
      <c r="O75" s="43">
        <f>HYPERLINK("[N Only with New retention and Differentiation.xlsx]'Coastal N Reductions'!AX31", 13.81)</f>
        <v>13.81</v>
      </c>
      <c r="P75" s="42">
        <f>N75-M75</f>
        <v>-4.2859999999999996</v>
      </c>
      <c r="Q75" s="42">
        <f>O75-M75</f>
        <v>-4.2859999999999996</v>
      </c>
      <c r="R75" s="43">
        <f>HYPERLINK("[N Only Old retention.xlsx]'Coastal N Reductions'!BF31", 21.07)</f>
        <v>21.07</v>
      </c>
      <c r="S75" s="43">
        <f>HYPERLINK("[N Only New retention.xlsx]'Coastal N Reductions'!BF31", 18.98)</f>
        <v>18.98</v>
      </c>
      <c r="T75" s="43">
        <f>HYPERLINK("[N Only with New retention and Differentiation.xlsx]'Coastal N Reductions'!BF31", 20.31)</f>
        <v>20.309999999999999</v>
      </c>
      <c r="U75" s="42">
        <f>S75-R75</f>
        <v>-2.09</v>
      </c>
      <c r="V75" s="42">
        <f>T75-R75</f>
        <v>-0.76000000000000156</v>
      </c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43">
        <f>HYPERLINK("[N Only Old retention.xlsx]'Coastal N Reductions'!BH31", 255.409999999959)</f>
        <v>255.40999999995901</v>
      </c>
      <c r="AH75" s="43">
        <f>HYPERLINK("[N Only New retention.xlsx]'Coastal N Reductions'!BH31", 184.732)</f>
        <v>184.732</v>
      </c>
      <c r="AI75" s="43">
        <f>HYPERLINK("[N Only with New retention and Differentiation.xlsx]'Coastal N Reductions'!BH31", 184.732)</f>
        <v>184.732</v>
      </c>
      <c r="AJ75" s="42">
        <f>AH75-AG75</f>
        <v>-70.677999999959013</v>
      </c>
      <c r="AK75" s="42">
        <f>AI75-AG75</f>
        <v>-70.677999999959013</v>
      </c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</row>
    <row r="76" spans="1:62" x14ac:dyDescent="0.55000000000000004">
      <c r="A76" s="30">
        <v>138</v>
      </c>
      <c r="B76" s="6" t="s">
        <v>224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</row>
    <row r="77" spans="1:62" x14ac:dyDescent="0.55000000000000004">
      <c r="A77" s="31">
        <v>139</v>
      </c>
      <c r="B77" s="5" t="s">
        <v>225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</row>
    <row r="78" spans="1:62" x14ac:dyDescent="0.55000000000000004">
      <c r="A78" s="30">
        <v>140</v>
      </c>
      <c r="B78" s="6" t="s">
        <v>226</v>
      </c>
      <c r="C78" s="40">
        <f>HYPERLINK("[N Only Old retention.xlsx]'Coastal N Reductions'!BD34", 2301.94399999988)</f>
        <v>2301.9439999998799</v>
      </c>
      <c r="D78" s="40">
        <f>HYPERLINK("[N Only New retention.xlsx]'Coastal N Reductions'!BD34", 1951.59999999996)</f>
        <v>1951.5999999999599</v>
      </c>
      <c r="E78" s="40">
        <f>HYPERLINK("[N Only with New retention and Differentiation.xlsx]'Coastal N Reductions'!BD34", 1951.59999999998)</f>
        <v>1951.5999999999799</v>
      </c>
      <c r="F78" s="42">
        <f>D78-C78</f>
        <v>-350.34399999992002</v>
      </c>
      <c r="G78" s="42">
        <f>E78-C78</f>
        <v>-350.34399999990001</v>
      </c>
      <c r="H78" s="40">
        <f>HYPERLINK("[N Only Old retention.xlsx]'Coastal N Reductions'!AV34", 814.181999999947)</f>
        <v>814.18199999994704</v>
      </c>
      <c r="I78" s="40">
        <f>HYPERLINK("[N Only New retention.xlsx]'Coastal N Reductions'!AV34", 1235.502)</f>
        <v>1235.502</v>
      </c>
      <c r="J78" s="40">
        <f>HYPERLINK("[N Only with New retention and Differentiation.xlsx]'Coastal N Reductions'!AV34", 1235.862)</f>
        <v>1235.8620000000001</v>
      </c>
      <c r="K78" s="41">
        <f>I78-H78</f>
        <v>421.32000000005291</v>
      </c>
      <c r="L78" s="41">
        <f>J78-H78</f>
        <v>421.68000000005304</v>
      </c>
      <c r="M78" s="40">
        <f>HYPERLINK("[N Only Old retention.xlsx]'Coastal N Reductions'!AX34", 206.298)</f>
        <v>206.298</v>
      </c>
      <c r="N78" s="40">
        <f>HYPERLINK("[N Only New retention.xlsx]'Coastal N Reductions'!AX34", 85.316)</f>
        <v>85.316000000000003</v>
      </c>
      <c r="O78" s="40">
        <f>HYPERLINK("[N Only with New retention and Differentiation.xlsx]'Coastal N Reductions'!AX34", 85.316)</f>
        <v>85.316000000000003</v>
      </c>
      <c r="P78" s="42">
        <f>N78-M78</f>
        <v>-120.982</v>
      </c>
      <c r="Q78" s="42">
        <f>O78-M78</f>
        <v>-120.982</v>
      </c>
      <c r="R78" s="18"/>
      <c r="S78" s="18"/>
      <c r="T78" s="18"/>
      <c r="U78" s="18"/>
      <c r="V78" s="18"/>
      <c r="W78" s="40">
        <f>HYPERLINK("[N Only Old retention.xlsx]'Coastal N Reductions'!BI34", 189.619999999995)</f>
        <v>189.619999999995</v>
      </c>
      <c r="X78" s="18"/>
      <c r="Y78" s="18"/>
      <c r="Z78" s="42">
        <f>X78-W78</f>
        <v>-189.619999999995</v>
      </c>
      <c r="AA78" s="42">
        <f>Y78-W78</f>
        <v>-189.619999999995</v>
      </c>
      <c r="AB78" s="18"/>
      <c r="AC78" s="18"/>
      <c r="AD78" s="18"/>
      <c r="AE78" s="18"/>
      <c r="AF78" s="18"/>
      <c r="AG78" s="40">
        <f>HYPERLINK("[N Only Old retention.xlsx]'Coastal N Reductions'!BH34", 318.339999999981)</f>
        <v>318.33999999998099</v>
      </c>
      <c r="AH78" s="40">
        <f>HYPERLINK("[N Only New retention.xlsx]'Coastal N Reductions'!BH34", 220.667999999979)</f>
        <v>220.667999999979</v>
      </c>
      <c r="AI78" s="40">
        <f>HYPERLINK("[N Only with New retention and Differentiation.xlsx]'Coastal N Reductions'!BH34", 220.604)</f>
        <v>220.60400000000001</v>
      </c>
      <c r="AJ78" s="42">
        <f>AH78-AG78</f>
        <v>-97.672000000001987</v>
      </c>
      <c r="AK78" s="42">
        <f>AI78-AG78</f>
        <v>-97.735999999980976</v>
      </c>
      <c r="AL78" s="40">
        <f>HYPERLINK("[N Only Old retention.xlsx]'Coastal N Reductions'!AZ34", 32.094)</f>
        <v>32.094000000000001</v>
      </c>
      <c r="AM78" s="18"/>
      <c r="AN78" s="18"/>
      <c r="AO78" s="42">
        <f>AM78-AL78</f>
        <v>-32.094000000000001</v>
      </c>
      <c r="AP78" s="42">
        <f>AN78-AL78</f>
        <v>-32.094000000000001</v>
      </c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</row>
    <row r="79" spans="1:62" x14ac:dyDescent="0.55000000000000004">
      <c r="A79" s="31">
        <v>141</v>
      </c>
      <c r="B79" s="5" t="s">
        <v>227</v>
      </c>
      <c r="C79" s="43">
        <f>HYPERLINK("[N Only Old retention.xlsx]'Coastal N Reductions'!BD35", 19.07)</f>
        <v>19.07</v>
      </c>
      <c r="D79" s="43">
        <f>HYPERLINK("[N Only New retention.xlsx]'Coastal N Reductions'!BD35", 20.49)</f>
        <v>20.49</v>
      </c>
      <c r="E79" s="43">
        <f>HYPERLINK("[N Only with New retention and Differentiation.xlsx]'Coastal N Reductions'!BD35", 20.49)</f>
        <v>20.49</v>
      </c>
      <c r="F79" s="41">
        <f>D79-C79</f>
        <v>1.4199999999999982</v>
      </c>
      <c r="G79" s="41">
        <f>E79-C79</f>
        <v>1.4199999999999982</v>
      </c>
      <c r="H79" s="43">
        <f>HYPERLINK("[N Only Old retention.xlsx]'Coastal N Reductions'!AV35", 0.864)</f>
        <v>0.86399999999999999</v>
      </c>
      <c r="I79" s="13"/>
      <c r="J79" s="13"/>
      <c r="K79" s="42">
        <f>I79-H79</f>
        <v>-0.86399999999999999</v>
      </c>
      <c r="L79" s="42">
        <f>J79-H79</f>
        <v>-0.86399999999999999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43">
        <f>HYPERLINK("[N Only Old retention.xlsx]'Coastal N Reductions'!BH35", 1.38999999995414)</f>
        <v>1.3899999999541399</v>
      </c>
      <c r="AH79" s="43">
        <f>HYPERLINK("[N Only New retention.xlsx]'Coastal N Reductions'!BH35", 0.97)</f>
        <v>0.97</v>
      </c>
      <c r="AI79" s="43">
        <f>HYPERLINK("[N Only with New retention and Differentiation.xlsx]'Coastal N Reductions'!BH35", 0.97)</f>
        <v>0.97</v>
      </c>
      <c r="AJ79" s="42">
        <f>AH79-AG79</f>
        <v>-0.41999999995413995</v>
      </c>
      <c r="AK79" s="42">
        <f>AI79-AG79</f>
        <v>-0.41999999995413995</v>
      </c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</row>
    <row r="80" spans="1:62" x14ac:dyDescent="0.55000000000000004">
      <c r="A80" s="30">
        <v>142</v>
      </c>
      <c r="B80" s="6" t="s">
        <v>228</v>
      </c>
      <c r="C80" s="18"/>
      <c r="D80" s="18"/>
      <c r="E80" s="18"/>
      <c r="F80" s="18"/>
      <c r="G80" s="18"/>
      <c r="H80" s="18"/>
      <c r="I80" s="40">
        <f>HYPERLINK("[N Only New retention.xlsx]'Coastal N Reductions'!AV36", 53.752)</f>
        <v>53.752000000000002</v>
      </c>
      <c r="J80" s="40">
        <f>HYPERLINK("[N Only with New retention and Differentiation.xlsx]'Coastal N Reductions'!AV36", 52.972)</f>
        <v>52.972000000000001</v>
      </c>
      <c r="K80" s="41">
        <f>I80-H80</f>
        <v>53.752000000000002</v>
      </c>
      <c r="L80" s="41">
        <f>J80-H80</f>
        <v>52.972000000000001</v>
      </c>
      <c r="M80" s="18"/>
      <c r="N80" s="18"/>
      <c r="O80" s="18"/>
      <c r="P80" s="18"/>
      <c r="Q80" s="18"/>
      <c r="R80" s="18"/>
      <c r="S80" s="40">
        <f>HYPERLINK("[N Only New retention.xlsx]'Coastal N Reductions'!BF36", 3.54)</f>
        <v>3.54</v>
      </c>
      <c r="T80" s="40">
        <f>HYPERLINK("[N Only with New retention and Differentiation.xlsx]'Coastal N Reductions'!BF36", 7.06)</f>
        <v>7.06</v>
      </c>
      <c r="U80" s="41">
        <f>S80-R80</f>
        <v>3.54</v>
      </c>
      <c r="V80" s="41">
        <f>T80-R80</f>
        <v>7.06</v>
      </c>
      <c r="W80" s="40">
        <f>HYPERLINK("[N Only Old retention.xlsx]'Coastal N Reductions'!BI36", 7.69199976031775)</f>
        <v>7.6919997603177501</v>
      </c>
      <c r="X80" s="40">
        <f>HYPERLINK("[N Only New retention.xlsx]'Coastal N Reductions'!BI36", 0.552)</f>
        <v>0.55200000000000005</v>
      </c>
      <c r="Y80" s="40">
        <f>HYPERLINK("[N Only with New retention and Differentiation.xlsx]'Coastal N Reductions'!BI36", 0.336)</f>
        <v>0.33600000000000002</v>
      </c>
      <c r="Z80" s="42">
        <f>X80-W80</f>
        <v>-7.1399997603177496</v>
      </c>
      <c r="AA80" s="42">
        <f>Y80-W80</f>
        <v>-7.3559997603177498</v>
      </c>
      <c r="AB80" s="18"/>
      <c r="AC80" s="18"/>
      <c r="AD80" s="18"/>
      <c r="AE80" s="18"/>
      <c r="AF80" s="18"/>
      <c r="AG80" s="40">
        <f>HYPERLINK("[N Only Old retention.xlsx]'Coastal N Reductions'!BH36", 3.174)</f>
        <v>3.1739999999999999</v>
      </c>
      <c r="AH80" s="40">
        <f>HYPERLINK("[N Only New retention.xlsx]'Coastal N Reductions'!BH36", 4.518)</f>
        <v>4.5179999999999998</v>
      </c>
      <c r="AI80" s="40">
        <f>HYPERLINK("[N Only with New retention and Differentiation.xlsx]'Coastal N Reductions'!BH36", 4.518)</f>
        <v>4.5179999999999998</v>
      </c>
      <c r="AJ80" s="41">
        <f>AH80-AG80</f>
        <v>1.3439999999999999</v>
      </c>
      <c r="AK80" s="41">
        <f>AI80-AG80</f>
        <v>1.3439999999999999</v>
      </c>
      <c r="AL80" s="18"/>
      <c r="AM80" s="40">
        <f>HYPERLINK("[N Only New retention.xlsx]'Coastal N Reductions'!AZ36", 14.1144)</f>
        <v>14.1144</v>
      </c>
      <c r="AN80" s="40">
        <f>HYPERLINK("[N Only with New retention and Differentiation.xlsx]'Coastal N Reductions'!AZ36", 14.1144)</f>
        <v>14.1144</v>
      </c>
      <c r="AO80" s="41">
        <f>AM80-AL80</f>
        <v>14.1144</v>
      </c>
      <c r="AP80" s="41">
        <f>AN80-AL80</f>
        <v>14.1144</v>
      </c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</row>
    <row r="81" spans="1:62" x14ac:dyDescent="0.55000000000000004">
      <c r="A81" s="31">
        <v>144</v>
      </c>
      <c r="B81" s="5" t="s">
        <v>229</v>
      </c>
      <c r="C81" s="43">
        <f>HYPERLINK("[N Only Old retention.xlsx]'Coastal N Reductions'!BD37", 41.948)</f>
        <v>41.948</v>
      </c>
      <c r="D81" s="43">
        <f>HYPERLINK("[N Only New retention.xlsx]'Coastal N Reductions'!BD37", 100.638)</f>
        <v>100.63800000000001</v>
      </c>
      <c r="E81" s="43">
        <f>HYPERLINK("[N Only with New retention and Differentiation.xlsx]'Coastal N Reductions'!BD37", 100.637999999948)</f>
        <v>100.63799999994799</v>
      </c>
      <c r="F81" s="41">
        <f>D81-C81</f>
        <v>58.690000000000005</v>
      </c>
      <c r="G81" s="41">
        <f>E81-C81</f>
        <v>58.689999999947993</v>
      </c>
      <c r="H81" s="13"/>
      <c r="I81" s="43">
        <f>HYPERLINK("[N Only New retention.xlsx]'Coastal N Reductions'!AV37", 6.574)</f>
        <v>6.5739999999999998</v>
      </c>
      <c r="J81" s="43">
        <f>HYPERLINK("[N Only with New retention and Differentiation.xlsx]'Coastal N Reductions'!AV37", 6.574)</f>
        <v>6.5739999999999998</v>
      </c>
      <c r="K81" s="41">
        <f>I81-H81</f>
        <v>6.5739999999999998</v>
      </c>
      <c r="L81" s="41">
        <f>J81-H81</f>
        <v>6.5739999999999998</v>
      </c>
      <c r="M81" s="43">
        <f>HYPERLINK("[N Only Old retention.xlsx]'Coastal N Reductions'!AX37", 27.4)</f>
        <v>27.4</v>
      </c>
      <c r="N81" s="43">
        <f>HYPERLINK("[N Only New retention.xlsx]'Coastal N Reductions'!AX37", 52.754)</f>
        <v>52.753999999999998</v>
      </c>
      <c r="O81" s="43">
        <f>HYPERLINK("[N Only with New retention and Differentiation.xlsx]'Coastal N Reductions'!AX37", 49.704)</f>
        <v>49.704000000000001</v>
      </c>
      <c r="P81" s="41">
        <f>N81-M81</f>
        <v>25.353999999999999</v>
      </c>
      <c r="Q81" s="41">
        <f>O81-M81</f>
        <v>22.304000000000002</v>
      </c>
      <c r="R81" s="13"/>
      <c r="S81" s="13"/>
      <c r="T81" s="13"/>
      <c r="U81" s="13"/>
      <c r="V81" s="13"/>
      <c r="W81" s="43">
        <f>HYPERLINK("[N Only Old retention.xlsx]'Coastal N Reductions'!BI37", 10.9099999999947)</f>
        <v>10.909999999994699</v>
      </c>
      <c r="X81" s="13"/>
      <c r="Y81" s="13"/>
      <c r="Z81" s="42">
        <f>X81-W81</f>
        <v>-10.909999999994699</v>
      </c>
      <c r="AA81" s="42">
        <f>Y81-W81</f>
        <v>-10.909999999994699</v>
      </c>
      <c r="AB81" s="13"/>
      <c r="AC81" s="13"/>
      <c r="AD81" s="13"/>
      <c r="AE81" s="13"/>
      <c r="AF81" s="13"/>
      <c r="AG81" s="43">
        <f>HYPERLINK("[N Only Old retention.xlsx]'Coastal N Reductions'!BH37", 3.14)</f>
        <v>3.14</v>
      </c>
      <c r="AH81" s="43">
        <f>HYPERLINK("[N Only New retention.xlsx]'Coastal N Reductions'!BH37", 0.27)</f>
        <v>0.27</v>
      </c>
      <c r="AI81" s="43">
        <f>HYPERLINK("[N Only with New retention and Differentiation.xlsx]'Coastal N Reductions'!BH37", 0.27)</f>
        <v>0.27</v>
      </c>
      <c r="AJ81" s="42">
        <f>AH81-AG81</f>
        <v>-2.87</v>
      </c>
      <c r="AK81" s="42">
        <f>AI81-AG81</f>
        <v>-2.87</v>
      </c>
      <c r="AL81" s="13"/>
      <c r="AM81" s="13"/>
      <c r="AN81" s="43">
        <f>HYPERLINK("[N Only with New retention and Differentiation.xlsx]'Coastal N Reductions'!AZ37", 2.3352)</f>
        <v>2.3351999999999999</v>
      </c>
      <c r="AO81" s="13"/>
      <c r="AP81" s="41">
        <f>AN81-AL81</f>
        <v>2.3351999999999999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</row>
    <row r="82" spans="1:62" x14ac:dyDescent="0.55000000000000004">
      <c r="A82" s="30">
        <v>145</v>
      </c>
      <c r="B82" s="6" t="s">
        <v>230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</row>
    <row r="83" spans="1:62" x14ac:dyDescent="0.55000000000000004">
      <c r="A83" s="31">
        <v>146</v>
      </c>
      <c r="B83" s="5" t="s">
        <v>231</v>
      </c>
      <c r="C83" s="43">
        <f>HYPERLINK("[N Only Old retention.xlsx]'Coastal N Reductions'!BD39", 195.56399999987)</f>
        <v>195.56399999986999</v>
      </c>
      <c r="D83" s="43">
        <f>HYPERLINK("[N Only New retention.xlsx]'Coastal N Reductions'!BD39", 278.882)</f>
        <v>278.88200000000001</v>
      </c>
      <c r="E83" s="13"/>
      <c r="F83" s="41">
        <f>D83-C83</f>
        <v>83.318000000130013</v>
      </c>
      <c r="G83" s="42">
        <f>E83-C83</f>
        <v>-195.56399999986999</v>
      </c>
      <c r="H83" s="43">
        <f>HYPERLINK("[N Only Old retention.xlsx]'Coastal N Reductions'!AV39", 284.555999999943)</f>
        <v>284.55599999994303</v>
      </c>
      <c r="I83" s="43">
        <f>HYPERLINK("[N Only New retention.xlsx]'Coastal N Reductions'!AV39", 189.025999999901)</f>
        <v>189.02599999990099</v>
      </c>
      <c r="J83" s="43">
        <f>HYPERLINK("[N Only with New retention and Differentiation.xlsx]'Coastal N Reductions'!AV39", 178.478)</f>
        <v>178.47800000000001</v>
      </c>
      <c r="K83" s="42">
        <f>I83-H83</f>
        <v>-95.530000000042037</v>
      </c>
      <c r="L83" s="42">
        <f>J83-H83</f>
        <v>-106.07799999994302</v>
      </c>
      <c r="M83" s="43">
        <f>HYPERLINK("[N Only Old retention.xlsx]'Coastal N Reductions'!AX39", 153.716)</f>
        <v>153.71600000000001</v>
      </c>
      <c r="N83" s="43">
        <f>HYPERLINK("[N Only New retention.xlsx]'Coastal N Reductions'!AX39", 140.434)</f>
        <v>140.434</v>
      </c>
      <c r="O83" s="43">
        <f>HYPERLINK("[N Only with New retention and Differentiation.xlsx]'Coastal N Reductions'!AX39", 140.434)</f>
        <v>140.434</v>
      </c>
      <c r="P83" s="42">
        <f>N83-M83</f>
        <v>-13.282000000000011</v>
      </c>
      <c r="Q83" s="42">
        <f>O83-M83</f>
        <v>-13.282000000000011</v>
      </c>
      <c r="R83" s="43">
        <f>HYPERLINK("[N Only Old retention.xlsx]'Coastal N Reductions'!BF39", 78.62)</f>
        <v>78.62</v>
      </c>
      <c r="S83" s="43">
        <f>HYPERLINK("[N Only New retention.xlsx]'Coastal N Reductions'!BF39", 44.342)</f>
        <v>44.341999999999999</v>
      </c>
      <c r="T83" s="43">
        <f>HYPERLINK("[N Only with New retention and Differentiation.xlsx]'Coastal N Reductions'!BF39", 361.198)</f>
        <v>361.19799999999998</v>
      </c>
      <c r="U83" s="42">
        <f>S83-R83</f>
        <v>-34.278000000000006</v>
      </c>
      <c r="V83" s="41">
        <f>T83-R83</f>
        <v>282.57799999999997</v>
      </c>
      <c r="W83" s="43">
        <f>HYPERLINK("[N Only Old retention.xlsx]'Coastal N Reductions'!BI39", 13.3939999999947)</f>
        <v>13.393999999994699</v>
      </c>
      <c r="X83" s="43">
        <f>HYPERLINK("[N Only New retention.xlsx]'Coastal N Reductions'!BI39", 14.144)</f>
        <v>14.144</v>
      </c>
      <c r="Y83" s="43">
        <f>HYPERLINK("[N Only with New retention and Differentiation.xlsx]'Coastal N Reductions'!BI39", 14.214)</f>
        <v>14.214</v>
      </c>
      <c r="Z83" s="41">
        <f>X83-W83</f>
        <v>0.75000000000530065</v>
      </c>
      <c r="AA83" s="41">
        <f>Y83-W83</f>
        <v>0.82000000000530093</v>
      </c>
      <c r="AB83" s="13"/>
      <c r="AC83" s="13"/>
      <c r="AD83" s="13"/>
      <c r="AE83" s="13"/>
      <c r="AF83" s="13"/>
      <c r="AG83" s="43">
        <f>HYPERLINK("[N Only Old retention.xlsx]'Coastal N Reductions'!BH39", 16.72)</f>
        <v>16.72</v>
      </c>
      <c r="AH83" s="43">
        <f>HYPERLINK("[N Only New retention.xlsx]'Coastal N Reductions'!BH39", 12.94)</f>
        <v>12.94</v>
      </c>
      <c r="AI83" s="43">
        <f>HYPERLINK("[N Only with New retention and Differentiation.xlsx]'Coastal N Reductions'!BH39", 12.81)</f>
        <v>12.81</v>
      </c>
      <c r="AJ83" s="42">
        <f>AH83-AG83</f>
        <v>-3.7799999999999994</v>
      </c>
      <c r="AK83" s="42">
        <f>AI83-AG83</f>
        <v>-3.9099999999999984</v>
      </c>
      <c r="AL83" s="43">
        <f>HYPERLINK("[N Only Old retention.xlsx]'Coastal N Reductions'!AZ39", 115.9104)</f>
        <v>115.9104</v>
      </c>
      <c r="AM83" s="43">
        <f>HYPERLINK("[N Only New retention.xlsx]'Coastal N Reductions'!AZ39", 165.8274)</f>
        <v>165.82740000000001</v>
      </c>
      <c r="AN83" s="43">
        <f>HYPERLINK("[N Only with New retention and Differentiation.xlsx]'Coastal N Reductions'!AZ39", 81.4818)</f>
        <v>81.481800000000007</v>
      </c>
      <c r="AO83" s="41">
        <f>AM83-AL83</f>
        <v>49.917000000000016</v>
      </c>
      <c r="AP83" s="42">
        <f>AN83-AL83</f>
        <v>-34.428599999999989</v>
      </c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</row>
    <row r="84" spans="1:62" x14ac:dyDescent="0.55000000000000004">
      <c r="A84" s="30">
        <v>147</v>
      </c>
      <c r="B84" s="6" t="s">
        <v>232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</row>
    <row r="85" spans="1:62" x14ac:dyDescent="0.55000000000000004">
      <c r="A85" s="31">
        <v>154</v>
      </c>
      <c r="B85" s="5" t="s">
        <v>233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</row>
    <row r="86" spans="1:62" x14ac:dyDescent="0.55000000000000004">
      <c r="A86" s="30">
        <v>157</v>
      </c>
      <c r="B86" s="6" t="s">
        <v>234</v>
      </c>
      <c r="C86" s="40">
        <f>HYPERLINK("[N Only Old retention.xlsx]'Coastal N Reductions'!BD42", 5953.46599999914)</f>
        <v>5953.46599999914</v>
      </c>
      <c r="D86" s="40">
        <f>HYPERLINK("[N Only New retention.xlsx]'Coastal N Reductions'!BD42", 5204.258)</f>
        <v>5204.2579999999998</v>
      </c>
      <c r="E86" s="40">
        <f>HYPERLINK("[N Only with New retention and Differentiation.xlsx]'Coastal N Reductions'!BD42", 5237.04799999996)</f>
        <v>5237.0479999999598</v>
      </c>
      <c r="F86" s="42">
        <f>D86-C86</f>
        <v>-749.20799999914016</v>
      </c>
      <c r="G86" s="42">
        <f>E86-C86</f>
        <v>-716.41799999918021</v>
      </c>
      <c r="H86" s="40">
        <f>HYPERLINK("[N Only Old retention.xlsx]'Coastal N Reductions'!AV42", 6395.04)</f>
        <v>6395.04</v>
      </c>
      <c r="I86" s="40">
        <f>HYPERLINK("[N Only New retention.xlsx]'Coastal N Reductions'!AV42", 5724.036)</f>
        <v>5724.0360000000001</v>
      </c>
      <c r="J86" s="40">
        <f>HYPERLINK("[N Only with New retention and Differentiation.xlsx]'Coastal N Reductions'!AV42", 5734.24599999988)</f>
        <v>5734.24599999988</v>
      </c>
      <c r="K86" s="42">
        <f>I86-H86</f>
        <v>-671.00399999999991</v>
      </c>
      <c r="L86" s="42">
        <f>J86-H86</f>
        <v>-660.79400000011992</v>
      </c>
      <c r="M86" s="40">
        <f>HYPERLINK("[N Only Old retention.xlsx]'Coastal N Reductions'!AX42", 206.79)</f>
        <v>206.79</v>
      </c>
      <c r="N86" s="40">
        <f>HYPERLINK("[N Only New retention.xlsx]'Coastal N Reductions'!AX42", 145.386)</f>
        <v>145.386</v>
      </c>
      <c r="O86" s="40">
        <f>HYPERLINK("[N Only with New retention and Differentiation.xlsx]'Coastal N Reductions'!AX42", 145.386)</f>
        <v>145.386</v>
      </c>
      <c r="P86" s="42">
        <f>N86-M86</f>
        <v>-61.403999999999996</v>
      </c>
      <c r="Q86" s="42">
        <f>O86-M86</f>
        <v>-61.403999999999996</v>
      </c>
      <c r="R86" s="40">
        <f>HYPERLINK("[N Only Old retention.xlsx]'Coastal N Reductions'!BF42", 4001.19010062832)</f>
        <v>4001.1901006283201</v>
      </c>
      <c r="S86" s="40">
        <f>HYPERLINK("[N Only New retention.xlsx]'Coastal N Reductions'!BF42", 4463.808)</f>
        <v>4463.808</v>
      </c>
      <c r="T86" s="40">
        <f>HYPERLINK("[N Only with New retention and Differentiation.xlsx]'Coastal N Reductions'!BF42", 4372.458)</f>
        <v>4372.4579999999996</v>
      </c>
      <c r="U86" s="41">
        <f>S86-R86</f>
        <v>462.61789937167987</v>
      </c>
      <c r="V86" s="41">
        <f>T86-R86</f>
        <v>371.2678993716795</v>
      </c>
      <c r="W86" s="40">
        <f>HYPERLINK("[N Only Old retention.xlsx]'Coastal N Reductions'!BI42", 1404.52799999998)</f>
        <v>1404.52799999998</v>
      </c>
      <c r="X86" s="40">
        <f>HYPERLINK("[N Only New retention.xlsx]'Coastal N Reductions'!BI42", 1288.232)</f>
        <v>1288.232</v>
      </c>
      <c r="Y86" s="40">
        <f>HYPERLINK("[N Only with New retention and Differentiation.xlsx]'Coastal N Reductions'!BI42", 1300.382)</f>
        <v>1300.3820000000001</v>
      </c>
      <c r="Z86" s="42">
        <f>X86-W86</f>
        <v>-116.29599999998004</v>
      </c>
      <c r="AA86" s="42">
        <f>Y86-W86</f>
        <v>-104.14599999997995</v>
      </c>
      <c r="AB86" s="18"/>
      <c r="AC86" s="18"/>
      <c r="AD86" s="18"/>
      <c r="AE86" s="18"/>
      <c r="AF86" s="18"/>
      <c r="AG86" s="40">
        <f>HYPERLINK("[N Only Old retention.xlsx]'Coastal N Reductions'!BH42", 353.249164948212)</f>
        <v>353.24916494821201</v>
      </c>
      <c r="AH86" s="40">
        <f>HYPERLINK("[N Only New retention.xlsx]'Coastal N Reductions'!BH42", 381.765164948429)</f>
        <v>381.765164948429</v>
      </c>
      <c r="AI86" s="40">
        <f>HYPERLINK("[N Only with New retention and Differentiation.xlsx]'Coastal N Reductions'!BH42", 383.895164948454)</f>
        <v>383.89516494845401</v>
      </c>
      <c r="AJ86" s="41">
        <f>AH86-AG86</f>
        <v>28.516000000216991</v>
      </c>
      <c r="AK86" s="41">
        <f>AI86-AG86</f>
        <v>30.646000000241997</v>
      </c>
      <c r="AL86" s="40">
        <f>HYPERLINK("[N Only Old retention.xlsx]'Coastal N Reductions'!AZ42", 387.2472)</f>
        <v>387.24720000000002</v>
      </c>
      <c r="AM86" s="40">
        <f>HYPERLINK("[N Only New retention.xlsx]'Coastal N Reductions'!AZ42", 385.1538)</f>
        <v>385.15379999999999</v>
      </c>
      <c r="AN86" s="40">
        <f>HYPERLINK("[N Only with New retention and Differentiation.xlsx]'Coastal N Reductions'!AZ42", 386.0586)</f>
        <v>386.05860000000001</v>
      </c>
      <c r="AO86" s="42">
        <f>AM86-AL86</f>
        <v>-2.093400000000031</v>
      </c>
      <c r="AP86" s="42">
        <f>AN86-AL86</f>
        <v>-1.1886000000000081</v>
      </c>
      <c r="AQ86" s="40">
        <f>HYPERLINK("[N Only Old retention.xlsx]'Coastal N Reductions'!BE42", 0.0199999999999999)</f>
        <v>1.99999999999999E-2</v>
      </c>
      <c r="AR86" s="18"/>
      <c r="AS86" s="18"/>
      <c r="AT86" s="42">
        <f>AR86-AQ86</f>
        <v>-1.99999999999999E-2</v>
      </c>
      <c r="AU86" s="42">
        <f>AS86-AQ86</f>
        <v>-1.99999999999999E-2</v>
      </c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</row>
    <row r="87" spans="1:62" x14ac:dyDescent="0.55000000000000004">
      <c r="A87" s="31">
        <v>158</v>
      </c>
      <c r="B87" s="5" t="s">
        <v>235</v>
      </c>
      <c r="C87" s="43">
        <f>HYPERLINK("[N Only Old retention.xlsx]'Coastal N Reductions'!BD43", 17269.9339999985)</f>
        <v>17269.933999998499</v>
      </c>
      <c r="D87" s="43">
        <f>HYPERLINK("[N Only New retention.xlsx]'Coastal N Reductions'!BD43", 16742.578)</f>
        <v>16742.578000000001</v>
      </c>
      <c r="E87" s="43">
        <f>HYPERLINK("[N Only with New retention and Differentiation.xlsx]'Coastal N Reductions'!BD43", 16735.706)</f>
        <v>16735.705999999998</v>
      </c>
      <c r="F87" s="42">
        <f>D87-C87</f>
        <v>-527.35599999849728</v>
      </c>
      <c r="G87" s="42">
        <f>E87-C87</f>
        <v>-534.22799999850031</v>
      </c>
      <c r="H87" s="43">
        <f>HYPERLINK("[N Only Old retention.xlsx]'Coastal N Reductions'!AV43", 5355.68599999992)</f>
        <v>5355.6859999999197</v>
      </c>
      <c r="I87" s="43">
        <f>HYPERLINK("[N Only New retention.xlsx]'Coastal N Reductions'!AV43", 5642.06399999985)</f>
        <v>5642.0639999998502</v>
      </c>
      <c r="J87" s="43">
        <f>HYPERLINK("[N Only with New retention and Differentiation.xlsx]'Coastal N Reductions'!AV43", 5644.02599999985)</f>
        <v>5644.0259999998498</v>
      </c>
      <c r="K87" s="41">
        <f>I87-H87</f>
        <v>286.37799999993058</v>
      </c>
      <c r="L87" s="41">
        <f>J87-H87</f>
        <v>288.33999999993011</v>
      </c>
      <c r="M87" s="43">
        <f>HYPERLINK("[N Only Old retention.xlsx]'Coastal N Reductions'!AX43", 131.162)</f>
        <v>131.16200000000001</v>
      </c>
      <c r="N87" s="43">
        <f>HYPERLINK("[N Only New retention.xlsx]'Coastal N Reductions'!AX43", 86.962)</f>
        <v>86.962000000000003</v>
      </c>
      <c r="O87" s="43">
        <f>HYPERLINK("[N Only with New retention and Differentiation.xlsx]'Coastal N Reductions'!AX43", 86.962)</f>
        <v>86.962000000000003</v>
      </c>
      <c r="P87" s="42">
        <f>N87-M87</f>
        <v>-44.2</v>
      </c>
      <c r="Q87" s="42">
        <f>O87-M87</f>
        <v>-44.2</v>
      </c>
      <c r="R87" s="43">
        <f>HYPERLINK("[N Only Old retention.xlsx]'Coastal N Reductions'!BF43", 5640.72799999969)</f>
        <v>5640.7279999996899</v>
      </c>
      <c r="S87" s="43">
        <f>HYPERLINK("[N Only New retention.xlsx]'Coastal N Reductions'!BF43", 4848.744)</f>
        <v>4848.7439999999997</v>
      </c>
      <c r="T87" s="43">
        <f>HYPERLINK("[N Only with New retention and Differentiation.xlsx]'Coastal N Reductions'!BF43", 4848.744)</f>
        <v>4848.7439999999997</v>
      </c>
      <c r="U87" s="42">
        <f>S87-R87</f>
        <v>-791.98399999969024</v>
      </c>
      <c r="V87" s="42">
        <f>T87-R87</f>
        <v>-791.98399999969024</v>
      </c>
      <c r="W87" s="43">
        <f>HYPERLINK("[N Only Old retention.xlsx]'Coastal N Reductions'!BI43", 1251.84199999999)</f>
        <v>1251.8419999999901</v>
      </c>
      <c r="X87" s="43">
        <f>HYPERLINK("[N Only New retention.xlsx]'Coastal N Reductions'!BI43", 1211.082)</f>
        <v>1211.0820000000001</v>
      </c>
      <c r="Y87" s="43">
        <f>HYPERLINK("[N Only with New retention and Differentiation.xlsx]'Coastal N Reductions'!BI43", 1211.082)</f>
        <v>1211.0820000000001</v>
      </c>
      <c r="Z87" s="42">
        <f>X87-W87</f>
        <v>-40.759999999989986</v>
      </c>
      <c r="AA87" s="42">
        <f>Y87-W87</f>
        <v>-40.759999999989986</v>
      </c>
      <c r="AB87" s="13"/>
      <c r="AC87" s="13"/>
      <c r="AD87" s="13"/>
      <c r="AE87" s="13"/>
      <c r="AF87" s="13"/>
      <c r="AG87" s="43">
        <f>HYPERLINK("[N Only Old retention.xlsx]'Coastal N Reductions'!BH43", 106.975999999582)</f>
        <v>106.975999999582</v>
      </c>
      <c r="AH87" s="43">
        <f>HYPERLINK("[N Only New retention.xlsx]'Coastal N Reductions'!BH43", 117.348)</f>
        <v>117.348</v>
      </c>
      <c r="AI87" s="43">
        <f>HYPERLINK("[N Only with New retention and Differentiation.xlsx]'Coastal N Reductions'!BH43", 117.428)</f>
        <v>117.428</v>
      </c>
      <c r="AJ87" s="41">
        <f>AH87-AG87</f>
        <v>10.372000000417998</v>
      </c>
      <c r="AK87" s="41">
        <f>AI87-AG87</f>
        <v>10.452000000417996</v>
      </c>
      <c r="AL87" s="43">
        <f>HYPERLINK("[N Only Old retention.xlsx]'Coastal N Reductions'!AZ43", 255.2328)</f>
        <v>255.2328</v>
      </c>
      <c r="AM87" s="43">
        <f>HYPERLINK("[N Only New retention.xlsx]'Coastal N Reductions'!AZ43", 262.8336)</f>
        <v>262.83359999999999</v>
      </c>
      <c r="AN87" s="43">
        <f>HYPERLINK("[N Only with New retention and Differentiation.xlsx]'Coastal N Reductions'!AZ43", 262.8336)</f>
        <v>262.83359999999999</v>
      </c>
      <c r="AO87" s="41">
        <f>AM87-AL87</f>
        <v>7.6007999999999925</v>
      </c>
      <c r="AP87" s="41">
        <f>AN87-AL87</f>
        <v>7.6007999999999925</v>
      </c>
      <c r="AQ87" s="43">
        <f>HYPERLINK("[N Only Old retention.xlsx]'Coastal N Reductions'!BE43", 3.33)</f>
        <v>3.33</v>
      </c>
      <c r="AR87" s="43">
        <f>HYPERLINK("[N Only New retention.xlsx]'Coastal N Reductions'!BE43", 1.97)</f>
        <v>1.97</v>
      </c>
      <c r="AS87" s="43">
        <f>HYPERLINK("[N Only with New retention and Differentiation.xlsx]'Coastal N Reductions'!BE43", 1.97)</f>
        <v>1.97</v>
      </c>
      <c r="AT87" s="42">
        <f>AR87-AQ87</f>
        <v>-1.36</v>
      </c>
      <c r="AU87" s="42">
        <f>AS87-AQ87</f>
        <v>-1.36</v>
      </c>
      <c r="AV87" s="13"/>
      <c r="AW87" s="13"/>
      <c r="AX87" s="43">
        <f>HYPERLINK("[N Only with New retention and Differentiation.xlsx]'Coastal N Reductions'!BC43", 2.09)</f>
        <v>2.09</v>
      </c>
      <c r="AY87" s="13"/>
      <c r="AZ87" s="41">
        <f>AX87-AV87</f>
        <v>2.09</v>
      </c>
      <c r="BA87" s="13"/>
      <c r="BB87" s="13"/>
      <c r="BC87" s="13"/>
      <c r="BD87" s="13"/>
      <c r="BE87" s="13"/>
      <c r="BF87" s="13"/>
      <c r="BG87" s="13"/>
      <c r="BH87" s="13"/>
      <c r="BI87" s="13"/>
      <c r="BJ87" s="13"/>
    </row>
    <row r="88" spans="1:62" x14ac:dyDescent="0.55000000000000004">
      <c r="A88" s="30">
        <v>159</v>
      </c>
      <c r="B88" s="6" t="s">
        <v>236</v>
      </c>
      <c r="C88" s="40">
        <f>HYPERLINK("[N Only Old retention.xlsx]'Coastal N Reductions'!BD44", 6182.34799999978)</f>
        <v>6182.3479999997799</v>
      </c>
      <c r="D88" s="40">
        <f>HYPERLINK("[N Only New retention.xlsx]'Coastal N Reductions'!BD44", 4399.556)</f>
        <v>4399.5559999999996</v>
      </c>
      <c r="E88" s="40">
        <f>HYPERLINK("[N Only with New retention and Differentiation.xlsx]'Coastal N Reductions'!BD44", 4395.906)</f>
        <v>4395.9059999999999</v>
      </c>
      <c r="F88" s="42">
        <f>D88-C88</f>
        <v>-1782.7919999997803</v>
      </c>
      <c r="G88" s="42">
        <f>E88-C88</f>
        <v>-1786.4419999997799</v>
      </c>
      <c r="H88" s="40">
        <f>HYPERLINK("[N Only Old retention.xlsx]'Coastal N Reductions'!AV44", 1126.97199999974)</f>
        <v>1126.9719999997401</v>
      </c>
      <c r="I88" s="40">
        <f>HYPERLINK("[N Only New retention.xlsx]'Coastal N Reductions'!AV44", 1575.594)</f>
        <v>1575.5940000000001</v>
      </c>
      <c r="J88" s="40">
        <f>HYPERLINK("[N Only with New retention and Differentiation.xlsx]'Coastal N Reductions'!AV44", 1585.75)</f>
        <v>1585.75</v>
      </c>
      <c r="K88" s="41">
        <f>I88-H88</f>
        <v>448.62200000025996</v>
      </c>
      <c r="L88" s="41">
        <f>J88-H88</f>
        <v>458.77800000025991</v>
      </c>
      <c r="M88" s="40">
        <f>HYPERLINK("[N Only Old retention.xlsx]'Coastal N Reductions'!AX44", 53.238)</f>
        <v>53.238</v>
      </c>
      <c r="N88" s="40">
        <f>HYPERLINK("[N Only New retention.xlsx]'Coastal N Reductions'!AX44", 2.15)</f>
        <v>2.15</v>
      </c>
      <c r="O88" s="40">
        <f>HYPERLINK("[N Only with New retention and Differentiation.xlsx]'Coastal N Reductions'!AX44", 2.15)</f>
        <v>2.15</v>
      </c>
      <c r="P88" s="42">
        <f>N88-M88</f>
        <v>-51.088000000000001</v>
      </c>
      <c r="Q88" s="42">
        <f>O88-M88</f>
        <v>-51.088000000000001</v>
      </c>
      <c r="R88" s="40">
        <f>HYPERLINK("[N Only Old retention.xlsx]'Coastal N Reductions'!BF44", 43.428)</f>
        <v>43.427999999999997</v>
      </c>
      <c r="S88" s="18"/>
      <c r="T88" s="18"/>
      <c r="U88" s="42">
        <f>S88-R88</f>
        <v>-43.427999999999997</v>
      </c>
      <c r="V88" s="42">
        <f>T88-R88</f>
        <v>-43.427999999999997</v>
      </c>
      <c r="W88" s="40">
        <f>HYPERLINK("[N Only Old retention.xlsx]'Coastal N Reductions'!BI44", 30.692)</f>
        <v>30.692</v>
      </c>
      <c r="X88" s="40">
        <f>HYPERLINK("[N Only New retention.xlsx]'Coastal N Reductions'!BI44", 0.002)</f>
        <v>2E-3</v>
      </c>
      <c r="Y88" s="40">
        <f>HYPERLINK("[N Only with New retention and Differentiation.xlsx]'Coastal N Reductions'!BI44", 0.0019999999946995)</f>
        <v>1.9999999946995E-3</v>
      </c>
      <c r="Z88" s="42">
        <f>X88-W88</f>
        <v>-30.69</v>
      </c>
      <c r="AA88" s="42">
        <f>Y88-W88</f>
        <v>-30.690000000005302</v>
      </c>
      <c r="AB88" s="18"/>
      <c r="AC88" s="18"/>
      <c r="AD88" s="18"/>
      <c r="AE88" s="18"/>
      <c r="AF88" s="18"/>
      <c r="AG88" s="40">
        <f>HYPERLINK("[N Only Old retention.xlsx]'Coastal N Reductions'!BH44", 21.274)</f>
        <v>21.274000000000001</v>
      </c>
      <c r="AH88" s="40">
        <f>HYPERLINK("[N Only New retention.xlsx]'Coastal N Reductions'!BH44", 14.82)</f>
        <v>14.82</v>
      </c>
      <c r="AI88" s="40">
        <f>HYPERLINK("[N Only with New retention and Differentiation.xlsx]'Coastal N Reductions'!BH44", 15.39)</f>
        <v>15.39</v>
      </c>
      <c r="AJ88" s="42">
        <f>AH88-AG88</f>
        <v>-6.4540000000000006</v>
      </c>
      <c r="AK88" s="42">
        <f>AI88-AG88</f>
        <v>-5.8840000000000003</v>
      </c>
      <c r="AL88" s="40">
        <f>HYPERLINK("[N Only Old retention.xlsx]'Coastal N Reductions'!AZ44", 105.4788)</f>
        <v>105.47880000000001</v>
      </c>
      <c r="AM88" s="40">
        <f>HYPERLINK("[N Only New retention.xlsx]'Coastal N Reductions'!AZ44", 80.0304)</f>
        <v>80.0304</v>
      </c>
      <c r="AN88" s="40">
        <f>HYPERLINK("[N Only with New retention and Differentiation.xlsx]'Coastal N Reductions'!AZ44", 80.0304)</f>
        <v>80.0304</v>
      </c>
      <c r="AO88" s="42">
        <f>AM88-AL88</f>
        <v>-25.448400000000007</v>
      </c>
      <c r="AP88" s="42">
        <f>AN88-AL88</f>
        <v>-25.448400000000007</v>
      </c>
      <c r="AQ88" s="40">
        <f>HYPERLINK("[N Only Old retention.xlsx]'Coastal N Reductions'!BE44", 30.36)</f>
        <v>30.36</v>
      </c>
      <c r="AR88" s="18"/>
      <c r="AS88" s="18"/>
      <c r="AT88" s="42">
        <f>AR88-AQ88</f>
        <v>-30.36</v>
      </c>
      <c r="AU88" s="42">
        <f>AS88-AQ88</f>
        <v>-30.36</v>
      </c>
      <c r="AV88" s="18"/>
      <c r="AW88" s="18"/>
      <c r="AX88" s="40">
        <f>HYPERLINK("[N Only with New retention and Differentiation.xlsx]'Coastal N Reductions'!BC44", 2.27)</f>
        <v>2.27</v>
      </c>
      <c r="AY88" s="18"/>
      <c r="AZ88" s="41">
        <f>AX88-AV88</f>
        <v>2.27</v>
      </c>
      <c r="BA88" s="18"/>
      <c r="BB88" s="18"/>
      <c r="BC88" s="18"/>
      <c r="BD88" s="18"/>
      <c r="BE88" s="18"/>
      <c r="BF88" s="18"/>
      <c r="BG88" s="18"/>
      <c r="BH88" s="18"/>
      <c r="BI88" s="18"/>
      <c r="BJ88" s="18"/>
    </row>
    <row r="89" spans="1:62" x14ac:dyDescent="0.55000000000000004">
      <c r="A89" s="31">
        <v>160</v>
      </c>
      <c r="B89" s="5" t="s">
        <v>237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</row>
    <row r="90" spans="1:62" x14ac:dyDescent="0.55000000000000004">
      <c r="A90" s="30">
        <v>165</v>
      </c>
      <c r="B90" s="6" t="s">
        <v>238</v>
      </c>
      <c r="C90" s="40">
        <f>HYPERLINK("[N Only Old retention.xlsx]'Coastal N Reductions'!BD47", 563.294)</f>
        <v>563.29399999999998</v>
      </c>
      <c r="D90" s="40">
        <f>HYPERLINK("[N Only New retention.xlsx]'Coastal N Reductions'!BD47", 898.396)</f>
        <v>898.39599999999996</v>
      </c>
      <c r="E90" s="18"/>
      <c r="F90" s="41">
        <f>D90-C90</f>
        <v>335.10199999999998</v>
      </c>
      <c r="G90" s="42">
        <f>E90-C90</f>
        <v>-563.29399999999998</v>
      </c>
      <c r="H90" s="40">
        <f>HYPERLINK("[N Only Old retention.xlsx]'Coastal N Reductions'!AV47", 3119.14799999989)</f>
        <v>3119.1479999998901</v>
      </c>
      <c r="I90" s="40">
        <f>HYPERLINK("[N Only New retention.xlsx]'Coastal N Reductions'!AV47", 2991.69399999971)</f>
        <v>2991.6939999997098</v>
      </c>
      <c r="J90" s="40">
        <f>HYPERLINK("[N Only with New retention and Differentiation.xlsx]'Coastal N Reductions'!AV47", 2919.128)</f>
        <v>2919.1280000000002</v>
      </c>
      <c r="K90" s="42">
        <f>I90-H90</f>
        <v>-127.45400000018026</v>
      </c>
      <c r="L90" s="42">
        <f>J90-H90</f>
        <v>-200.01999999988993</v>
      </c>
      <c r="M90" s="40">
        <f>HYPERLINK("[N Only Old retention.xlsx]'Coastal N Reductions'!AX47", 10869.2499999992)</f>
        <v>10869.2499999992</v>
      </c>
      <c r="N90" s="40">
        <f>HYPERLINK("[N Only New retention.xlsx]'Coastal N Reductions'!AX47", 10577.362)</f>
        <v>10577.361999999999</v>
      </c>
      <c r="O90" s="40">
        <f>HYPERLINK("[N Only with New retention and Differentiation.xlsx]'Coastal N Reductions'!AX47", 10104.2599999999)</f>
        <v>10104.2599999999</v>
      </c>
      <c r="P90" s="42">
        <f>N90-M90</f>
        <v>-291.88799999920047</v>
      </c>
      <c r="Q90" s="42">
        <f>O90-M90</f>
        <v>-764.98999999929947</v>
      </c>
      <c r="R90" s="40">
        <f>HYPERLINK("[N Only Old retention.xlsx]'Coastal N Reductions'!BF47", 5282.72766863848)</f>
        <v>5282.7276686384803</v>
      </c>
      <c r="S90" s="40">
        <f>HYPERLINK("[N Only New retention.xlsx]'Coastal N Reductions'!BF47", 5050.19799999995)</f>
        <v>5050.1979999999503</v>
      </c>
      <c r="T90" s="40">
        <f>HYPERLINK("[N Only with New retention and Differentiation.xlsx]'Coastal N Reductions'!BF47", 6555.68766863893)</f>
        <v>6555.6876686389296</v>
      </c>
      <c r="U90" s="42">
        <f>S90-R90</f>
        <v>-232.52966863852998</v>
      </c>
      <c r="V90" s="41">
        <f>T90-R90</f>
        <v>1272.9600000004493</v>
      </c>
      <c r="W90" s="40">
        <f>HYPERLINK("[N Only Old retention.xlsx]'Coastal N Reductions'!BI47", 966.004058865081)</f>
        <v>966.00405886508099</v>
      </c>
      <c r="X90" s="40">
        <f>HYPERLINK("[N Only New retention.xlsx]'Coastal N Reductions'!BI47", 978.834058865081)</f>
        <v>978.83405886508103</v>
      </c>
      <c r="Y90" s="40">
        <f>HYPERLINK("[N Only with New retention and Differentiation.xlsx]'Coastal N Reductions'!BI47", 975.746058865081)</f>
        <v>975.74605886508095</v>
      </c>
      <c r="Z90" s="41">
        <f>X90-W90</f>
        <v>12.830000000000041</v>
      </c>
      <c r="AA90" s="41">
        <f>Y90-W90</f>
        <v>9.7419999999999618</v>
      </c>
      <c r="AB90" s="26">
        <f>HYPERLINK("[N Only Old retention.xlsx]'Coastal N Reductions'!BS47", 1900)</f>
        <v>1900</v>
      </c>
      <c r="AC90" s="26">
        <f>HYPERLINK("[N Only New retention.xlsx]'Coastal N Reductions'!BS47", 14100)</f>
        <v>14100</v>
      </c>
      <c r="AD90" s="26">
        <f>HYPERLINK("[N Only with New retention and Differentiation.xlsx]'Coastal N Reductions'!BS47", 11800)</f>
        <v>11800</v>
      </c>
      <c r="AE90" s="16">
        <f>AC90-AB90</f>
        <v>12200</v>
      </c>
      <c r="AF90" s="16">
        <f>AD90-AB90</f>
        <v>9900</v>
      </c>
      <c r="AG90" s="40">
        <f>HYPERLINK("[N Only Old retention.xlsx]'Coastal N Reductions'!BH47", 53.542)</f>
        <v>53.542000000000002</v>
      </c>
      <c r="AH90" s="40">
        <f>HYPERLINK("[N Only New retention.xlsx]'Coastal N Reductions'!BH47", 96.562)</f>
        <v>96.561999999999998</v>
      </c>
      <c r="AI90" s="40">
        <f>HYPERLINK("[N Only with New retention and Differentiation.xlsx]'Coastal N Reductions'!BH47", 89.836)</f>
        <v>89.835999999999999</v>
      </c>
      <c r="AJ90" s="41">
        <f>AH90-AG90</f>
        <v>43.019999999999996</v>
      </c>
      <c r="AK90" s="41">
        <f>AI90-AG90</f>
        <v>36.293999999999997</v>
      </c>
      <c r="AL90" s="40">
        <f>HYPERLINK("[N Only Old retention.xlsx]'Coastal N Reductions'!AZ47", 863.262599999744)</f>
        <v>863.262599999744</v>
      </c>
      <c r="AM90" s="40">
        <f>HYPERLINK("[N Only New retention.xlsx]'Coastal N Reductions'!AZ47", 857.1396)</f>
        <v>857.13959999999997</v>
      </c>
      <c r="AN90" s="40">
        <f>HYPERLINK("[N Only with New retention and Differentiation.xlsx]'Coastal N Reductions'!AZ47", 868.9812)</f>
        <v>868.98119999999994</v>
      </c>
      <c r="AO90" s="42">
        <f>AM90-AL90</f>
        <v>-6.1229999997440245</v>
      </c>
      <c r="AP90" s="41">
        <f>AN90-AL90</f>
        <v>5.7186000002559467</v>
      </c>
      <c r="AQ90" s="40">
        <f>HYPERLINK("[N Only Old retention.xlsx]'Coastal N Reductions'!BE47", 227.202966431962)</f>
        <v>227.20296643196201</v>
      </c>
      <c r="AR90" s="40">
        <f>HYPERLINK("[N Only New retention.xlsx]'Coastal N Reductions'!BE47", 263.673197993959)</f>
        <v>263.67319799395898</v>
      </c>
      <c r="AS90" s="40">
        <f>HYPERLINK("[N Only with New retention and Differentiation.xlsx]'Coastal N Reductions'!BE47", 259.783529354906)</f>
        <v>259.78352935490602</v>
      </c>
      <c r="AT90" s="41">
        <f>AR90-AQ90</f>
        <v>36.470231561996968</v>
      </c>
      <c r="AU90" s="41">
        <f>AS90-AQ90</f>
        <v>32.580562922944011</v>
      </c>
      <c r="AV90" s="40">
        <f>HYPERLINK("[N Only Old retention.xlsx]'Coastal N Reductions'!BC47", 9.7)</f>
        <v>9.6999999999999993</v>
      </c>
      <c r="AW90" s="18"/>
      <c r="AX90" s="40">
        <f>HYPERLINK("[N Only with New retention and Differentiation.xlsx]'Coastal N Reductions'!BC47", 13.38)</f>
        <v>13.38</v>
      </c>
      <c r="AY90" s="42">
        <f>AW90-AV90</f>
        <v>-9.6999999999999993</v>
      </c>
      <c r="AZ90" s="41">
        <f>AX90-AV90</f>
        <v>3.6800000000000015</v>
      </c>
      <c r="BA90" s="18"/>
      <c r="BB90" s="18"/>
      <c r="BC90" s="18"/>
      <c r="BD90" s="18"/>
      <c r="BE90" s="18"/>
      <c r="BF90" s="18"/>
      <c r="BG90" s="18"/>
      <c r="BH90" s="18"/>
      <c r="BI90" s="18"/>
      <c r="BJ90" s="18"/>
    </row>
    <row r="91" spans="1:62" x14ac:dyDescent="0.55000000000000004">
      <c r="A91" s="31">
        <v>200</v>
      </c>
      <c r="B91" s="5" t="s">
        <v>239</v>
      </c>
      <c r="C91" s="43">
        <f>HYPERLINK("[N Only Old retention.xlsx]'Coastal N Reductions'!BD51", 1961.83)</f>
        <v>1961.83</v>
      </c>
      <c r="D91" s="43">
        <f>HYPERLINK("[N Only New retention.xlsx]'Coastal N Reductions'!BD51", 2081.966)</f>
        <v>2081.9659999999999</v>
      </c>
      <c r="E91" s="13"/>
      <c r="F91" s="41">
        <f>D91-C91</f>
        <v>120.13599999999997</v>
      </c>
      <c r="G91" s="42">
        <f>E91-C91</f>
        <v>-1961.83</v>
      </c>
      <c r="H91" s="43">
        <f>HYPERLINK("[N Only Old retention.xlsx]'Coastal N Reductions'!AV51", 586.668)</f>
        <v>586.66800000000001</v>
      </c>
      <c r="I91" s="43">
        <f>HYPERLINK("[N Only New retention.xlsx]'Coastal N Reductions'!AV51", 509.69)</f>
        <v>509.69</v>
      </c>
      <c r="J91" s="43">
        <f>HYPERLINK("[N Only with New retention and Differentiation.xlsx]'Coastal N Reductions'!AV51", 507.954)</f>
        <v>507.95400000000001</v>
      </c>
      <c r="K91" s="42">
        <f>I91-H91</f>
        <v>-76.978000000000009</v>
      </c>
      <c r="L91" s="42">
        <f>J91-H91</f>
        <v>-78.713999999999999</v>
      </c>
      <c r="M91" s="43">
        <f>HYPERLINK("[N Only Old retention.xlsx]'Coastal N Reductions'!AX51", 615.852)</f>
        <v>615.85199999999998</v>
      </c>
      <c r="N91" s="43">
        <f>HYPERLINK("[N Only New retention.xlsx]'Coastal N Reductions'!AX51", 708.57)</f>
        <v>708.57</v>
      </c>
      <c r="O91" s="43">
        <f>HYPERLINK("[N Only with New retention and Differentiation.xlsx]'Coastal N Reductions'!AX51", 704.786)</f>
        <v>704.78599999999994</v>
      </c>
      <c r="P91" s="41">
        <f>N91-M91</f>
        <v>92.718000000000075</v>
      </c>
      <c r="Q91" s="41">
        <f>O91-M91</f>
        <v>88.933999999999969</v>
      </c>
      <c r="R91" s="43">
        <f>HYPERLINK("[N Only Old retention.xlsx]'Coastal N Reductions'!BF51", 340.21)</f>
        <v>340.21</v>
      </c>
      <c r="S91" s="43">
        <f>HYPERLINK("[N Only New retention.xlsx]'Coastal N Reductions'!BF51", 418.849999999902)</f>
        <v>418.84999999990202</v>
      </c>
      <c r="T91" s="43">
        <f>HYPERLINK("[N Only with New retention and Differentiation.xlsx]'Coastal N Reductions'!BF51", 2642.52599999996)</f>
        <v>2642.5259999999598</v>
      </c>
      <c r="U91" s="41">
        <f>S91-R91</f>
        <v>78.639999999902045</v>
      </c>
      <c r="V91" s="41">
        <f>T91-R91</f>
        <v>2302.3159999999598</v>
      </c>
      <c r="W91" s="43">
        <f>HYPERLINK("[N Only Old retention.xlsx]'Coastal N Reductions'!BI51", 345.778)</f>
        <v>345.77800000000002</v>
      </c>
      <c r="X91" s="43">
        <f>HYPERLINK("[N Only New retention.xlsx]'Coastal N Reductions'!BI51", 350.402)</f>
        <v>350.40199999999999</v>
      </c>
      <c r="Y91" s="43">
        <f>HYPERLINK("[N Only with New retention and Differentiation.xlsx]'Coastal N Reductions'!BI51", 348.91)</f>
        <v>348.91</v>
      </c>
      <c r="Z91" s="41">
        <f>X91-W91</f>
        <v>4.6239999999999668</v>
      </c>
      <c r="AA91" s="41">
        <f>Y91-W91</f>
        <v>3.132000000000005</v>
      </c>
      <c r="AB91" s="13"/>
      <c r="AC91" s="13"/>
      <c r="AD91" s="13"/>
      <c r="AE91" s="13"/>
      <c r="AF91" s="13"/>
      <c r="AG91" s="43">
        <f>HYPERLINK("[N Only Old retention.xlsx]'Coastal N Reductions'!BH51", 44.994)</f>
        <v>44.994</v>
      </c>
      <c r="AH91" s="43">
        <f>HYPERLINK("[N Only New retention.xlsx]'Coastal N Reductions'!BH51", 82.76)</f>
        <v>82.76</v>
      </c>
      <c r="AI91" s="43">
        <f>HYPERLINK("[N Only with New retention and Differentiation.xlsx]'Coastal N Reductions'!BH51", 81.33)</f>
        <v>81.33</v>
      </c>
      <c r="AJ91" s="41">
        <f>AH91-AG91</f>
        <v>37.766000000000005</v>
      </c>
      <c r="AK91" s="41">
        <f>AI91-AG91</f>
        <v>36.335999999999999</v>
      </c>
      <c r="AL91" s="43">
        <f>HYPERLINK("[N Only Old retention.xlsx]'Coastal N Reductions'!AZ51", 279.1662)</f>
        <v>279.1662</v>
      </c>
      <c r="AM91" s="43">
        <f>HYPERLINK("[N Only New retention.xlsx]'Coastal N Reductions'!AZ51", 213.8898)</f>
        <v>213.88980000000001</v>
      </c>
      <c r="AN91" s="43">
        <f>HYPERLINK("[N Only with New retention and Differentiation.xlsx]'Coastal N Reductions'!AZ51", 203.4078)</f>
        <v>203.40780000000001</v>
      </c>
      <c r="AO91" s="42">
        <f>AM91-AL91</f>
        <v>-65.276399999999995</v>
      </c>
      <c r="AP91" s="42">
        <f>AN91-AL91</f>
        <v>-75.758399999999995</v>
      </c>
      <c r="AQ91" s="43">
        <f>HYPERLINK("[N Only Old retention.xlsx]'Coastal N Reductions'!BE51", 40.168)</f>
        <v>40.167999999999999</v>
      </c>
      <c r="AR91" s="43">
        <f>HYPERLINK("[N Only New retention.xlsx]'Coastal N Reductions'!BE51", 130.942)</f>
        <v>130.94200000000001</v>
      </c>
      <c r="AS91" s="43">
        <f>HYPERLINK("[N Only with New retention and Differentiation.xlsx]'Coastal N Reductions'!BE51", 114.466)</f>
        <v>114.46599999999999</v>
      </c>
      <c r="AT91" s="41">
        <f>AR91-AQ91</f>
        <v>90.774000000000001</v>
      </c>
      <c r="AU91" s="41">
        <f>AS91-AQ91</f>
        <v>74.298000000000002</v>
      </c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</row>
    <row r="92" spans="1:62" x14ac:dyDescent="0.55000000000000004">
      <c r="A92" s="30">
        <v>201</v>
      </c>
      <c r="B92" s="6" t="s">
        <v>240</v>
      </c>
      <c r="C92" s="40">
        <f>HYPERLINK("[N Only Old retention.xlsx]'Coastal N Reductions'!BD52", 10.09)</f>
        <v>10.09</v>
      </c>
      <c r="D92" s="40">
        <f>HYPERLINK("[N Only New retention.xlsx]'Coastal N Reductions'!BD52", 10.09)</f>
        <v>10.09</v>
      </c>
      <c r="E92" s="18"/>
      <c r="F92" s="18"/>
      <c r="G92" s="42">
        <f>E92-C92</f>
        <v>-10.09</v>
      </c>
      <c r="H92" s="40">
        <f>HYPERLINK("[N Only Old retention.xlsx]'Coastal N Reductions'!AV52", 31.512)</f>
        <v>31.512</v>
      </c>
      <c r="I92" s="40">
        <f>HYPERLINK("[N Only New retention.xlsx]'Coastal N Reductions'!AV52", 25.222)</f>
        <v>25.222000000000001</v>
      </c>
      <c r="J92" s="40">
        <f>HYPERLINK("[N Only with New retention and Differentiation.xlsx]'Coastal N Reductions'!AV52", 25.222)</f>
        <v>25.222000000000001</v>
      </c>
      <c r="K92" s="42">
        <f>I92-H92</f>
        <v>-6.2899999999999991</v>
      </c>
      <c r="L92" s="42">
        <f>J92-H92</f>
        <v>-6.2899999999999991</v>
      </c>
      <c r="M92" s="40">
        <f>HYPERLINK("[N Only Old retention.xlsx]'Coastal N Reductions'!AX52", 666.492)</f>
        <v>666.49199999999996</v>
      </c>
      <c r="N92" s="40">
        <f>HYPERLINK("[N Only New retention.xlsx]'Coastal N Reductions'!AX52", 693.176)</f>
        <v>693.17600000000004</v>
      </c>
      <c r="O92" s="40">
        <f>HYPERLINK("[N Only with New retention and Differentiation.xlsx]'Coastal N Reductions'!AX52", 665.37)</f>
        <v>665.37</v>
      </c>
      <c r="P92" s="41">
        <f>N92-M92</f>
        <v>26.684000000000083</v>
      </c>
      <c r="Q92" s="42">
        <f>O92-M92</f>
        <v>-1.1219999999999573</v>
      </c>
      <c r="R92" s="40">
        <f>HYPERLINK("[N Only Old retention.xlsx]'Coastal N Reductions'!BF52", 36.33)</f>
        <v>36.33</v>
      </c>
      <c r="S92" s="40">
        <f>HYPERLINK("[N Only New retention.xlsx]'Coastal N Reductions'!BF52", 36.84)</f>
        <v>36.840000000000003</v>
      </c>
      <c r="T92" s="40">
        <f>HYPERLINK("[N Only with New retention and Differentiation.xlsx]'Coastal N Reductions'!BF52", 67.808)</f>
        <v>67.808000000000007</v>
      </c>
      <c r="U92" s="41">
        <f>S92-R92</f>
        <v>0.51000000000000512</v>
      </c>
      <c r="V92" s="41">
        <f>T92-R92</f>
        <v>31.478000000000009</v>
      </c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40">
        <f>HYPERLINK("[N Only Old retention.xlsx]'Coastal N Reductions'!BH52", 8.182)</f>
        <v>8.1820000000000004</v>
      </c>
      <c r="AH92" s="40">
        <f>HYPERLINK("[N Only New retention.xlsx]'Coastal N Reductions'!BH52", 21.01)</f>
        <v>21.01</v>
      </c>
      <c r="AI92" s="40">
        <f>HYPERLINK("[N Only with New retention and Differentiation.xlsx]'Coastal N Reductions'!BH52", 11.722)</f>
        <v>11.722</v>
      </c>
      <c r="AJ92" s="41">
        <f>AH92-AG92</f>
        <v>12.828000000000001</v>
      </c>
      <c r="AK92" s="41">
        <f>AI92-AG92</f>
        <v>3.5399999999999991</v>
      </c>
      <c r="AL92" s="40">
        <f>HYPERLINK("[N Only Old retention.xlsx]'Coastal N Reductions'!AZ52", 2.142)</f>
        <v>2.1419999999999999</v>
      </c>
      <c r="AM92" s="18"/>
      <c r="AN92" s="18"/>
      <c r="AO92" s="42">
        <f>AM92-AL92</f>
        <v>-2.1419999999999999</v>
      </c>
      <c r="AP92" s="42">
        <f>AN92-AL92</f>
        <v>-2.1419999999999999</v>
      </c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</row>
    <row r="93" spans="1:62" x14ac:dyDescent="0.55000000000000004">
      <c r="A93" s="31">
        <v>204</v>
      </c>
      <c r="B93" s="5" t="s">
        <v>241</v>
      </c>
      <c r="C93" s="43">
        <f>HYPERLINK("[N Only Old retention.xlsx]'Coastal N Reductions'!BD53", 310.486)</f>
        <v>310.48599999999999</v>
      </c>
      <c r="D93" s="43">
        <f>HYPERLINK("[N Only New retention.xlsx]'Coastal N Reductions'!BD53", 460.298)</f>
        <v>460.298</v>
      </c>
      <c r="E93" s="13"/>
      <c r="F93" s="41">
        <f>D93-C93</f>
        <v>149.81200000000001</v>
      </c>
      <c r="G93" s="42">
        <f>E93-C93</f>
        <v>-310.48599999999999</v>
      </c>
      <c r="H93" s="43">
        <f>HYPERLINK("[N Only Old retention.xlsx]'Coastal N Reductions'!AV53", 2698.87199999972)</f>
        <v>2698.8719999997202</v>
      </c>
      <c r="I93" s="43">
        <f>HYPERLINK("[N Only New retention.xlsx]'Coastal N Reductions'!AV53", 4081.34599999983)</f>
        <v>4081.3459999998299</v>
      </c>
      <c r="J93" s="43">
        <f>HYPERLINK("[N Only with New retention and Differentiation.xlsx]'Coastal N Reductions'!AV53", 3923.12799999973)</f>
        <v>3923.12799999973</v>
      </c>
      <c r="K93" s="41">
        <f>I93-H93</f>
        <v>1382.4740000001098</v>
      </c>
      <c r="L93" s="41">
        <f>J93-H93</f>
        <v>1224.2560000000099</v>
      </c>
      <c r="M93" s="43">
        <f>HYPERLINK("[N Only Old retention.xlsx]'Coastal N Reductions'!AX53", 10567.1039999999)</f>
        <v>10567.103999999899</v>
      </c>
      <c r="N93" s="43">
        <f>HYPERLINK("[N Only New retention.xlsx]'Coastal N Reductions'!AX53", 12626.464)</f>
        <v>12626.464</v>
      </c>
      <c r="O93" s="43">
        <f>HYPERLINK("[N Only with New retention and Differentiation.xlsx]'Coastal N Reductions'!AX53", 11875.2179999997)</f>
        <v>11875.217999999701</v>
      </c>
      <c r="P93" s="41">
        <f>N93-M93</f>
        <v>2059.3600000001006</v>
      </c>
      <c r="Q93" s="41">
        <f>O93-M93</f>
        <v>1308.1139999998013</v>
      </c>
      <c r="R93" s="43">
        <f>HYPERLINK("[N Only Old retention.xlsx]'Coastal N Reductions'!BF53", 2680.29399999997)</f>
        <v>2680.2939999999699</v>
      </c>
      <c r="S93" s="43">
        <f>HYPERLINK("[N Only New retention.xlsx]'Coastal N Reductions'!BF53", 2938.92999999961)</f>
        <v>2938.9299999996101</v>
      </c>
      <c r="T93" s="43">
        <f>HYPERLINK("[N Only with New retention and Differentiation.xlsx]'Coastal N Reductions'!BF53", 4263.65382481732)</f>
        <v>4263.6538248173201</v>
      </c>
      <c r="U93" s="41">
        <f>S93-R93</f>
        <v>258.63599999964026</v>
      </c>
      <c r="V93" s="41">
        <f>T93-R93</f>
        <v>1583.3598248173503</v>
      </c>
      <c r="W93" s="43">
        <f>HYPERLINK("[N Only Old retention.xlsx]'Coastal N Reductions'!BI53", 866.699999999979)</f>
        <v>866.69999999997901</v>
      </c>
      <c r="X93" s="43">
        <f>HYPERLINK("[N Only New retention.xlsx]'Coastal N Reductions'!BI53", 875.044)</f>
        <v>875.04399999999998</v>
      </c>
      <c r="Y93" s="43">
        <f>HYPERLINK("[N Only with New retention and Differentiation.xlsx]'Coastal N Reductions'!BI53", 875.816)</f>
        <v>875.81600000000003</v>
      </c>
      <c r="Z93" s="41">
        <f>X93-W93</f>
        <v>8.3440000000209693</v>
      </c>
      <c r="AA93" s="41">
        <f>Y93-W93</f>
        <v>9.1160000000210175</v>
      </c>
      <c r="AB93" s="13"/>
      <c r="AC93" s="13"/>
      <c r="AD93" s="13"/>
      <c r="AE93" s="13"/>
      <c r="AF93" s="13"/>
      <c r="AG93" s="43">
        <f>HYPERLINK("[N Only Old retention.xlsx]'Coastal N Reductions'!BH53", 65.0959999999171)</f>
        <v>65.095999999917098</v>
      </c>
      <c r="AH93" s="43">
        <f>HYPERLINK("[N Only New retention.xlsx]'Coastal N Reductions'!BH53", 115.872)</f>
        <v>115.872</v>
      </c>
      <c r="AI93" s="43">
        <f>HYPERLINK("[N Only with New retention and Differentiation.xlsx]'Coastal N Reductions'!BH53", 102.238)</f>
        <v>102.238</v>
      </c>
      <c r="AJ93" s="41">
        <f>AH93-AG93</f>
        <v>50.776000000082902</v>
      </c>
      <c r="AK93" s="41">
        <f>AI93-AG93</f>
        <v>37.142000000082902</v>
      </c>
      <c r="AL93" s="43">
        <f>HYPERLINK("[N Only Old retention.xlsx]'Coastal N Reductions'!AZ53", 2359.41239999988)</f>
        <v>2359.4123999998801</v>
      </c>
      <c r="AM93" s="43">
        <f>HYPERLINK("[N Only New retention.xlsx]'Coastal N Reductions'!AZ53", 2838.8904)</f>
        <v>2838.8904000000002</v>
      </c>
      <c r="AN93" s="43">
        <f>HYPERLINK("[N Only with New retention and Differentiation.xlsx]'Coastal N Reductions'!AZ53", 2959.5618)</f>
        <v>2959.5617999999999</v>
      </c>
      <c r="AO93" s="41">
        <f>AM93-AL93</f>
        <v>479.47800000012012</v>
      </c>
      <c r="AP93" s="41">
        <f>AN93-AL93</f>
        <v>600.14940000011984</v>
      </c>
      <c r="AQ93" s="43">
        <f>HYPERLINK("[N Only Old retention.xlsx]'Coastal N Reductions'!BE53", 134.714)</f>
        <v>134.714</v>
      </c>
      <c r="AR93" s="43">
        <f>HYPERLINK("[N Only New retention.xlsx]'Coastal N Reductions'!BE53", 590.962)</f>
        <v>590.96199999999999</v>
      </c>
      <c r="AS93" s="43">
        <f>HYPERLINK("[N Only with New retention and Differentiation.xlsx]'Coastal N Reductions'!BE53", 521.274175182482)</f>
        <v>521.27417518248205</v>
      </c>
      <c r="AT93" s="41">
        <f>AR93-AQ93</f>
        <v>456.24799999999999</v>
      </c>
      <c r="AU93" s="41">
        <f>AS93-AQ93</f>
        <v>386.56017518248206</v>
      </c>
      <c r="AV93" s="13"/>
      <c r="AW93" s="13"/>
      <c r="AX93" s="43">
        <f>HYPERLINK("[N Only with New retention and Differentiation.xlsx]'Coastal N Reductions'!BC53", 6.64)</f>
        <v>6.64</v>
      </c>
      <c r="AY93" s="13"/>
      <c r="AZ93" s="41">
        <f>AX93-AV93</f>
        <v>6.64</v>
      </c>
      <c r="BA93" s="13"/>
      <c r="BB93" s="13"/>
      <c r="BC93" s="13"/>
      <c r="BD93" s="13"/>
      <c r="BE93" s="13"/>
      <c r="BF93" s="13"/>
      <c r="BG93" s="28">
        <f>HYPERLINK("[N Only New retention.xlsx]'Coastal N Reductions'!BT53", 1)</f>
        <v>1</v>
      </c>
      <c r="BH93" s="28">
        <f>HYPERLINK("[N Only with New retention and Differentiation.xlsx]'Coastal N Reductions'!BT53", 1)</f>
        <v>1</v>
      </c>
      <c r="BI93" s="16">
        <f>BG93-BF93</f>
        <v>1</v>
      </c>
      <c r="BJ93" s="16">
        <f>BH93-BF93</f>
        <v>1</v>
      </c>
    </row>
    <row r="94" spans="1:62" x14ac:dyDescent="0.55000000000000004">
      <c r="A94" s="30">
        <v>205</v>
      </c>
      <c r="B94" s="6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</row>
    <row r="95" spans="1:62" x14ac:dyDescent="0.55000000000000004">
      <c r="A95" s="31">
        <v>206</v>
      </c>
      <c r="B95" s="5" t="s">
        <v>242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</row>
    <row r="96" spans="1:62" x14ac:dyDescent="0.55000000000000004">
      <c r="A96" s="30">
        <v>207</v>
      </c>
      <c r="B96" s="6" t="s">
        <v>243</v>
      </c>
      <c r="C96" s="40">
        <f>HYPERLINK("[N Only Old retention.xlsx]'Coastal N Reductions'!BD56", 19.64)</f>
        <v>19.64</v>
      </c>
      <c r="D96" s="40">
        <f>HYPERLINK("[N Only New retention.xlsx]'Coastal N Reductions'!BD56", 106.26)</f>
        <v>106.26</v>
      </c>
      <c r="E96" s="40">
        <f>HYPERLINK("[N Only with New retention and Differentiation.xlsx]'Coastal N Reductions'!BD56", 106.26)</f>
        <v>106.26</v>
      </c>
      <c r="F96" s="41">
        <f>D96-C96</f>
        <v>86.62</v>
      </c>
      <c r="G96" s="41">
        <f>E96-C96</f>
        <v>86.62</v>
      </c>
      <c r="H96" s="40">
        <f>HYPERLINK("[N Only Old retention.xlsx]'Coastal N Reductions'!AV56", 468.912)</f>
        <v>468.91199999999998</v>
      </c>
      <c r="I96" s="40">
        <f>HYPERLINK("[N Only New retention.xlsx]'Coastal N Reductions'!AV56", 685.558)</f>
        <v>685.55799999999999</v>
      </c>
      <c r="J96" s="40">
        <f>HYPERLINK("[N Only with New retention and Differentiation.xlsx]'Coastal N Reductions'!AV56", 685.557999999787)</f>
        <v>685.55799999978694</v>
      </c>
      <c r="K96" s="41">
        <f>I96-H96</f>
        <v>216.64600000000002</v>
      </c>
      <c r="L96" s="41">
        <f>J96-H96</f>
        <v>216.64599999978697</v>
      </c>
      <c r="M96" s="40">
        <f>HYPERLINK("[N Only Old retention.xlsx]'Coastal N Reductions'!AX56", 582.121999999678)</f>
        <v>582.121999999678</v>
      </c>
      <c r="N96" s="40">
        <f>HYPERLINK("[N Only New retention.xlsx]'Coastal N Reductions'!AX56", 547.958)</f>
        <v>547.95799999999997</v>
      </c>
      <c r="O96" s="40">
        <f>HYPERLINK("[N Only with New retention and Differentiation.xlsx]'Coastal N Reductions'!AX56", 547.958)</f>
        <v>547.95799999999997</v>
      </c>
      <c r="P96" s="42">
        <f>N96-M96</f>
        <v>-34.163999999678026</v>
      </c>
      <c r="Q96" s="42">
        <f>O96-M96</f>
        <v>-34.163999999678026</v>
      </c>
      <c r="R96" s="18"/>
      <c r="S96" s="18"/>
      <c r="T96" s="18"/>
      <c r="U96" s="18"/>
      <c r="V96" s="18"/>
      <c r="W96" s="40">
        <f>HYPERLINK("[N Only Old retention.xlsx]'Coastal N Reductions'!BI56", 578.573999999984)</f>
        <v>578.57399999998404</v>
      </c>
      <c r="X96" s="40">
        <f>HYPERLINK("[N Only New retention.xlsx]'Coastal N Reductions'!BI56", 580.254)</f>
        <v>580.25400000000002</v>
      </c>
      <c r="Y96" s="40">
        <f>HYPERLINK("[N Only with New retention and Differentiation.xlsx]'Coastal N Reductions'!BI56", 580.254)</f>
        <v>580.25400000000002</v>
      </c>
      <c r="Z96" s="41">
        <f>X96-W96</f>
        <v>1.6800000000159798</v>
      </c>
      <c r="AA96" s="41">
        <f>Y96-W96</f>
        <v>1.6800000000159798</v>
      </c>
      <c r="AB96" s="18"/>
      <c r="AC96" s="18"/>
      <c r="AD96" s="18"/>
      <c r="AE96" s="18"/>
      <c r="AF96" s="18"/>
      <c r="AG96" s="40">
        <f>HYPERLINK("[N Only Old retention.xlsx]'Coastal N Reductions'!BH56", 13.166)</f>
        <v>13.166</v>
      </c>
      <c r="AH96" s="40">
        <f>HYPERLINK("[N Only New retention.xlsx]'Coastal N Reductions'!BH56", 4.246)</f>
        <v>4.2460000000000004</v>
      </c>
      <c r="AI96" s="40">
        <f>HYPERLINK("[N Only with New retention and Differentiation.xlsx]'Coastal N Reductions'!BH56", 4.246)</f>
        <v>4.2460000000000004</v>
      </c>
      <c r="AJ96" s="42">
        <f>AH96-AG96</f>
        <v>-8.92</v>
      </c>
      <c r="AK96" s="42">
        <f>AI96-AG96</f>
        <v>-8.92</v>
      </c>
      <c r="AL96" s="40">
        <f>HYPERLINK("[N Only Old retention.xlsx]'Coastal N Reductions'!AZ56", 178.6458)</f>
        <v>178.64580000000001</v>
      </c>
      <c r="AM96" s="40">
        <f>HYPERLINK("[N Only New retention.xlsx]'Coastal N Reductions'!AZ56", 249.8226)</f>
        <v>249.82259999999999</v>
      </c>
      <c r="AN96" s="40">
        <f>HYPERLINK("[N Only with New retention and Differentiation.xlsx]'Coastal N Reductions'!AZ56", 249.5094)</f>
        <v>249.5094</v>
      </c>
      <c r="AO96" s="41">
        <f>AM96-AL96</f>
        <v>71.176799999999986</v>
      </c>
      <c r="AP96" s="41">
        <f>AN96-AL96</f>
        <v>70.863599999999991</v>
      </c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</row>
    <row r="97" spans="1:62" x14ac:dyDescent="0.55000000000000004">
      <c r="A97" s="31">
        <v>208</v>
      </c>
      <c r="B97" s="5" t="s">
        <v>244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</row>
    <row r="98" spans="1:62" x14ac:dyDescent="0.55000000000000004">
      <c r="A98" s="30">
        <v>209</v>
      </c>
      <c r="B98" s="6" t="s">
        <v>245</v>
      </c>
      <c r="C98" s="40">
        <f>HYPERLINK("[N Only Old retention.xlsx]'Coastal N Reductions'!BD58", 2199.704)</f>
        <v>2199.7040000000002</v>
      </c>
      <c r="D98" s="40">
        <f>HYPERLINK("[N Only New retention.xlsx]'Coastal N Reductions'!BD58", 2473.938)</f>
        <v>2473.9380000000001</v>
      </c>
      <c r="E98" s="40">
        <f>HYPERLINK("[N Only with New retention and Differentiation.xlsx]'Coastal N Reductions'!BD58", 2083.908)</f>
        <v>2083.9079999999999</v>
      </c>
      <c r="F98" s="41">
        <f>D98-C98</f>
        <v>274.23399999999992</v>
      </c>
      <c r="G98" s="42">
        <f>E98-C98</f>
        <v>-115.79600000000028</v>
      </c>
      <c r="H98" s="40">
        <f>HYPERLINK("[N Only Old retention.xlsx]'Coastal N Reductions'!AV58", 1473.478)</f>
        <v>1473.4780000000001</v>
      </c>
      <c r="I98" s="40">
        <f>HYPERLINK("[N Only New retention.xlsx]'Coastal N Reductions'!AV58", 1302.238)</f>
        <v>1302.2380000000001</v>
      </c>
      <c r="J98" s="40">
        <f>HYPERLINK("[N Only with New retention and Differentiation.xlsx]'Coastal N Reductions'!AV58", 1317.338)</f>
        <v>1317.338</v>
      </c>
      <c r="K98" s="42">
        <f>I98-H98</f>
        <v>-171.24</v>
      </c>
      <c r="L98" s="42">
        <f>J98-H98</f>
        <v>-156.1400000000001</v>
      </c>
      <c r="M98" s="40">
        <f>HYPERLINK("[N Only Old retention.xlsx]'Coastal N Reductions'!AX58", 7759.28999999989)</f>
        <v>7759.2899999998899</v>
      </c>
      <c r="N98" s="40">
        <f>HYPERLINK("[N Only New retention.xlsx]'Coastal N Reductions'!AX58", 8731.566)</f>
        <v>8731.5660000000007</v>
      </c>
      <c r="O98" s="40">
        <f>HYPERLINK("[N Only with New retention and Differentiation.xlsx]'Coastal N Reductions'!AX58", 8566.08599999993)</f>
        <v>8566.0859999999302</v>
      </c>
      <c r="P98" s="41">
        <f>N98-M98</f>
        <v>972.2760000001108</v>
      </c>
      <c r="Q98" s="41">
        <f>O98-M98</f>
        <v>806.79600000004029</v>
      </c>
      <c r="R98" s="40">
        <f>HYPERLINK("[N Only Old retention.xlsx]'Coastal N Reductions'!BF58", 215.916)</f>
        <v>215.916</v>
      </c>
      <c r="S98" s="40">
        <f>HYPERLINK("[N Only New retention.xlsx]'Coastal N Reductions'!BF58", 295.18)</f>
        <v>295.18</v>
      </c>
      <c r="T98" s="40">
        <f>HYPERLINK("[N Only with New retention and Differentiation.xlsx]'Coastal N Reductions'!BF58", 758.08)</f>
        <v>758.08</v>
      </c>
      <c r="U98" s="41">
        <f>S98-R98</f>
        <v>79.26400000000001</v>
      </c>
      <c r="V98" s="41">
        <f>T98-R98</f>
        <v>542.16399999999999</v>
      </c>
      <c r="W98" s="40">
        <f>HYPERLINK("[N Only Old retention.xlsx]'Coastal N Reductions'!BI58", 150.65)</f>
        <v>150.65</v>
      </c>
      <c r="X98" s="40">
        <f>HYPERLINK("[N Only New retention.xlsx]'Coastal N Reductions'!BI58", 159.87)</f>
        <v>159.87</v>
      </c>
      <c r="Y98" s="40">
        <f>HYPERLINK("[N Only with New retention and Differentiation.xlsx]'Coastal N Reductions'!BI58", 160.02)</f>
        <v>160.02000000000001</v>
      </c>
      <c r="Z98" s="41">
        <f>X98-W98</f>
        <v>9.2199999999999989</v>
      </c>
      <c r="AA98" s="41">
        <f>Y98-W98</f>
        <v>9.3700000000000045</v>
      </c>
      <c r="AB98" s="26">
        <f>HYPERLINK("[N Only Old retention.xlsx]'Coastal N Reductions'!BS58", 10900)</f>
        <v>10900</v>
      </c>
      <c r="AC98" s="26">
        <f>HYPERLINK("[N Only New retention.xlsx]'Coastal N Reductions'!BS58", 12250)</f>
        <v>12250</v>
      </c>
      <c r="AD98" s="26">
        <f>HYPERLINK("[N Only with New retention and Differentiation.xlsx]'Coastal N Reductions'!BS58", 12250)</f>
        <v>12250</v>
      </c>
      <c r="AE98" s="16">
        <f>AC98-AB98</f>
        <v>1350</v>
      </c>
      <c r="AF98" s="16">
        <f>AD98-AB98</f>
        <v>1350</v>
      </c>
      <c r="AG98" s="40">
        <f>HYPERLINK("[N Only Old retention.xlsx]'Coastal N Reductions'!BH58", 52.106)</f>
        <v>52.106000000000002</v>
      </c>
      <c r="AH98" s="40">
        <f>HYPERLINK("[N Only New retention.xlsx]'Coastal N Reductions'!BH58", 104.996)</f>
        <v>104.996</v>
      </c>
      <c r="AI98" s="40">
        <f>HYPERLINK("[N Only with New retention and Differentiation.xlsx]'Coastal N Reductions'!BH58", 103.806)</f>
        <v>103.806</v>
      </c>
      <c r="AJ98" s="41">
        <f>AH98-AG98</f>
        <v>52.889999999999993</v>
      </c>
      <c r="AK98" s="41">
        <f>AI98-AG98</f>
        <v>51.699999999999996</v>
      </c>
      <c r="AL98" s="40">
        <f>HYPERLINK("[N Only Old retention.xlsx]'Coastal N Reductions'!AZ58", 49.9656)</f>
        <v>49.965600000000002</v>
      </c>
      <c r="AM98" s="40">
        <f>HYPERLINK("[N Only New retention.xlsx]'Coastal N Reductions'!AZ58", 45.7164)</f>
        <v>45.7164</v>
      </c>
      <c r="AN98" s="40">
        <f>HYPERLINK("[N Only with New retention and Differentiation.xlsx]'Coastal N Reductions'!AZ58", 45.387)</f>
        <v>45.387</v>
      </c>
      <c r="AO98" s="42">
        <f>AM98-AL98</f>
        <v>-4.2492000000000019</v>
      </c>
      <c r="AP98" s="42">
        <f>AN98-AL98</f>
        <v>-4.5786000000000016</v>
      </c>
      <c r="AQ98" s="40">
        <f>HYPERLINK("[N Only Old retention.xlsx]'Coastal N Reductions'!BE58", 101.756)</f>
        <v>101.756</v>
      </c>
      <c r="AR98" s="40">
        <f>HYPERLINK("[N Only New retention.xlsx]'Coastal N Reductions'!BE58", 121.385999999976)</f>
        <v>121.38599999997599</v>
      </c>
      <c r="AS98" s="40">
        <f>HYPERLINK("[N Only with New retention and Differentiation.xlsx]'Coastal N Reductions'!BE58", 139.358)</f>
        <v>139.358</v>
      </c>
      <c r="AT98" s="41">
        <f>AR98-AQ98</f>
        <v>19.629999999975993</v>
      </c>
      <c r="AU98" s="41">
        <f>AS98-AQ98</f>
        <v>37.602000000000004</v>
      </c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</row>
    <row r="99" spans="1:62" x14ac:dyDescent="0.55000000000000004">
      <c r="A99" s="31">
        <v>212</v>
      </c>
      <c r="B99" s="5" t="s">
        <v>246</v>
      </c>
      <c r="C99" s="43">
        <f>HYPERLINK("[N Only Old retention.xlsx]'Coastal N Reductions'!BD59", 412.986)</f>
        <v>412.98599999999999</v>
      </c>
      <c r="D99" s="43">
        <f>HYPERLINK("[N Only New retention.xlsx]'Coastal N Reductions'!BD59", 390.238)</f>
        <v>390.238</v>
      </c>
      <c r="E99" s="43">
        <f>HYPERLINK("[N Only with New retention and Differentiation.xlsx]'Coastal N Reductions'!BD59", 390.238)</f>
        <v>390.238</v>
      </c>
      <c r="F99" s="42">
        <f>D99-C99</f>
        <v>-22.74799999999999</v>
      </c>
      <c r="G99" s="42">
        <f>E99-C99</f>
        <v>-22.74799999999999</v>
      </c>
      <c r="H99" s="43">
        <f>HYPERLINK("[N Only Old retention.xlsx]'Coastal N Reductions'!AV59", 69.31)</f>
        <v>69.31</v>
      </c>
      <c r="I99" s="43">
        <f>HYPERLINK("[N Only New retention.xlsx]'Coastal N Reductions'!AV59", 87.928)</f>
        <v>87.927999999999997</v>
      </c>
      <c r="J99" s="43">
        <f>HYPERLINK("[N Only with New retention and Differentiation.xlsx]'Coastal N Reductions'!AV59", 87.928)</f>
        <v>87.927999999999997</v>
      </c>
      <c r="K99" s="41">
        <f>I99-H99</f>
        <v>18.617999999999995</v>
      </c>
      <c r="L99" s="41">
        <f>J99-H99</f>
        <v>18.617999999999995</v>
      </c>
      <c r="M99" s="43">
        <f>HYPERLINK("[N Only Old retention.xlsx]'Coastal N Reductions'!AX59", 27.322)</f>
        <v>27.321999999999999</v>
      </c>
      <c r="N99" s="43">
        <f>HYPERLINK("[N Only New retention.xlsx]'Coastal N Reductions'!AX59", 48.394)</f>
        <v>48.393999999999998</v>
      </c>
      <c r="O99" s="43">
        <f>HYPERLINK("[N Only with New retention and Differentiation.xlsx]'Coastal N Reductions'!AX59", 44.184)</f>
        <v>44.183999999999997</v>
      </c>
      <c r="P99" s="41">
        <f>N99-M99</f>
        <v>21.071999999999999</v>
      </c>
      <c r="Q99" s="41">
        <f>O99-M99</f>
        <v>16.861999999999998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28">
        <f>HYPERLINK("[N Only Old retention.xlsx]'Coastal N Reductions'!BS59", 100)</f>
        <v>100</v>
      </c>
      <c r="AC99" s="13"/>
      <c r="AD99" s="13"/>
      <c r="AE99" s="21">
        <f>AC99-AB99</f>
        <v>-100</v>
      </c>
      <c r="AF99" s="21">
        <f>AD99-AB99</f>
        <v>-100</v>
      </c>
      <c r="AG99" s="43">
        <f>HYPERLINK("[N Only Old retention.xlsx]'Coastal N Reductions'!BH59", 6.556)</f>
        <v>6.556</v>
      </c>
      <c r="AH99" s="43">
        <f>HYPERLINK("[N Only New retention.xlsx]'Coastal N Reductions'!BH59", 5.626)</f>
        <v>5.6260000000000003</v>
      </c>
      <c r="AI99" s="43">
        <f>HYPERLINK("[N Only with New retention and Differentiation.xlsx]'Coastal N Reductions'!BH59", 5.626)</f>
        <v>5.6260000000000003</v>
      </c>
      <c r="AJ99" s="42">
        <f>AH99-AG99</f>
        <v>-0.92999999999999972</v>
      </c>
      <c r="AK99" s="42">
        <f>AI99-AG99</f>
        <v>-0.92999999999999972</v>
      </c>
      <c r="AL99" s="43">
        <f>HYPERLINK("[N Only Old retention.xlsx]'Coastal N Reductions'!AZ59", 13.1208)</f>
        <v>13.120799999999999</v>
      </c>
      <c r="AM99" s="43">
        <f>HYPERLINK("[N Only New retention.xlsx]'Coastal N Reductions'!AZ59", 15.6498)</f>
        <v>15.649800000000001</v>
      </c>
      <c r="AN99" s="43">
        <f>HYPERLINK("[N Only with New retention and Differentiation.xlsx]'Coastal N Reductions'!AZ59", 15.441)</f>
        <v>15.441000000000001</v>
      </c>
      <c r="AO99" s="41">
        <f>AM99-AL99</f>
        <v>2.5290000000000017</v>
      </c>
      <c r="AP99" s="41">
        <f>AN99-AL99</f>
        <v>2.3202000000000016</v>
      </c>
      <c r="AQ99" s="43">
        <f>HYPERLINK("[N Only Old retention.xlsx]'Coastal N Reductions'!BE59", 0.348)</f>
        <v>0.34799999999999998</v>
      </c>
      <c r="AR99" s="43">
        <f>HYPERLINK("[N Only New retention.xlsx]'Coastal N Reductions'!BE59", 0.12)</f>
        <v>0.12</v>
      </c>
      <c r="AS99" s="43">
        <f>HYPERLINK("[N Only with New retention and Differentiation.xlsx]'Coastal N Reductions'!BE59", 0.12)</f>
        <v>0.12</v>
      </c>
      <c r="AT99" s="42">
        <f>AR99-AQ99</f>
        <v>-0.22799999999999998</v>
      </c>
      <c r="AU99" s="42">
        <f>AS99-AQ99</f>
        <v>-0.22799999999999998</v>
      </c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</row>
    <row r="100" spans="1:62" x14ac:dyDescent="0.55000000000000004">
      <c r="A100" s="30">
        <v>214</v>
      </c>
      <c r="B100" s="6" t="s">
        <v>247</v>
      </c>
      <c r="C100" s="40">
        <f>HYPERLINK("[N Only Old retention.xlsx]'Coastal N Reductions'!BD60", 3543.37826923069)</f>
        <v>3543.37826923069</v>
      </c>
      <c r="D100" s="40">
        <f>HYPERLINK("[N Only New retention.xlsx]'Coastal N Reductions'!BD60", 3392.8082692307)</f>
        <v>3392.8082692306998</v>
      </c>
      <c r="E100" s="40">
        <f>HYPERLINK("[N Only with New retention and Differentiation.xlsx]'Coastal N Reductions'!BD60", 3352.31826923077)</f>
        <v>3352.3182692307701</v>
      </c>
      <c r="F100" s="42">
        <f>D100-C100</f>
        <v>-150.56999999999016</v>
      </c>
      <c r="G100" s="42">
        <f>E100-C100</f>
        <v>-191.05999999991991</v>
      </c>
      <c r="H100" s="40">
        <f>HYPERLINK("[N Only Old retention.xlsx]'Coastal N Reductions'!AV60", 1165.26599999942)</f>
        <v>1165.26599999942</v>
      </c>
      <c r="I100" s="40">
        <f>HYPERLINK("[N Only New retention.xlsx]'Coastal N Reductions'!AV60", 1235.22)</f>
        <v>1235.22</v>
      </c>
      <c r="J100" s="40">
        <f>HYPERLINK("[N Only with New retention and Differentiation.xlsx]'Coastal N Reductions'!AV60", 1243.186)</f>
        <v>1243.1859999999999</v>
      </c>
      <c r="K100" s="41">
        <f>I100-H100</f>
        <v>69.954000000579981</v>
      </c>
      <c r="L100" s="41">
        <f>J100-H100</f>
        <v>77.920000000579876</v>
      </c>
      <c r="M100" s="40">
        <f>HYPERLINK("[N Only Old retention.xlsx]'Coastal N Reductions'!AX60", 2901.91399999982)</f>
        <v>2901.9139999998201</v>
      </c>
      <c r="N100" s="40">
        <f>HYPERLINK("[N Only New retention.xlsx]'Coastal N Reductions'!AX60", 3344.646)</f>
        <v>3344.6460000000002</v>
      </c>
      <c r="O100" s="40">
        <f>HYPERLINK("[N Only with New retention and Differentiation.xlsx]'Coastal N Reductions'!AX60", 3376.426)</f>
        <v>3376.4259999999999</v>
      </c>
      <c r="P100" s="41">
        <f>N100-M100</f>
        <v>442.73200000018005</v>
      </c>
      <c r="Q100" s="41">
        <f>O100-M100</f>
        <v>474.5120000001798</v>
      </c>
      <c r="R100" s="40">
        <f>HYPERLINK("[N Only Old retention.xlsx]'Coastal N Reductions'!BF60", 35.908)</f>
        <v>35.908000000000001</v>
      </c>
      <c r="S100" s="40">
        <f>HYPERLINK("[N Only New retention.xlsx]'Coastal N Reductions'!BF60", 35.598)</f>
        <v>35.597999999999999</v>
      </c>
      <c r="T100" s="40">
        <f>HYPERLINK("[N Only with New retention and Differentiation.xlsx]'Coastal N Reductions'!BF60", 39.8679999999716)</f>
        <v>39.867999999971602</v>
      </c>
      <c r="U100" s="42">
        <f>S100-R100</f>
        <v>-0.31000000000000227</v>
      </c>
      <c r="V100" s="41">
        <f>T100-R100</f>
        <v>3.9599999999716005</v>
      </c>
      <c r="W100" s="40">
        <f>HYPERLINK("[N Only Old retention.xlsx]'Coastal N Reductions'!BI60", 52.728)</f>
        <v>52.728000000000002</v>
      </c>
      <c r="X100" s="40">
        <f>HYPERLINK("[N Only New retention.xlsx]'Coastal N Reductions'!BI60", 54.124)</f>
        <v>54.124000000000002</v>
      </c>
      <c r="Y100" s="40">
        <f>HYPERLINK("[N Only with New retention and Differentiation.xlsx]'Coastal N Reductions'!BI60", 54.124)</f>
        <v>54.124000000000002</v>
      </c>
      <c r="Z100" s="41">
        <f>X100-W100</f>
        <v>1.3960000000000008</v>
      </c>
      <c r="AA100" s="41">
        <f>Y100-W100</f>
        <v>1.3960000000000008</v>
      </c>
      <c r="AB100" s="26">
        <f>HYPERLINK("[N Only Old retention.xlsx]'Coastal N Reductions'!BS60", 3000)</f>
        <v>3000</v>
      </c>
      <c r="AC100" s="26">
        <f>HYPERLINK("[N Only New retention.xlsx]'Coastal N Reductions'!BS60", 2800)</f>
        <v>2800</v>
      </c>
      <c r="AD100" s="26">
        <f>HYPERLINK("[N Only with New retention and Differentiation.xlsx]'Coastal N Reductions'!BS60", 2800)</f>
        <v>2800</v>
      </c>
      <c r="AE100" s="21">
        <f>AC100-AB100</f>
        <v>-200</v>
      </c>
      <c r="AF100" s="21">
        <f>AD100-AB100</f>
        <v>-200</v>
      </c>
      <c r="AG100" s="40">
        <f>HYPERLINK("[N Only Old retention.xlsx]'Coastal N Reductions'!BH60", 65.988)</f>
        <v>65.988</v>
      </c>
      <c r="AH100" s="40">
        <f>HYPERLINK("[N Only New retention.xlsx]'Coastal N Reductions'!BH60", 79.456)</f>
        <v>79.456000000000003</v>
      </c>
      <c r="AI100" s="40">
        <f>HYPERLINK("[N Only with New retention and Differentiation.xlsx]'Coastal N Reductions'!BH60", 79.326)</f>
        <v>79.325999999999993</v>
      </c>
      <c r="AJ100" s="41">
        <f>AH100-AG100</f>
        <v>13.468000000000004</v>
      </c>
      <c r="AK100" s="41">
        <f>AI100-AG100</f>
        <v>13.337999999999994</v>
      </c>
      <c r="AL100" s="40">
        <f>HYPERLINK("[N Only Old retention.xlsx]'Coastal N Reductions'!AZ60", 741.3426)</f>
        <v>741.34259999999995</v>
      </c>
      <c r="AM100" s="40">
        <f>HYPERLINK("[N Only New retention.xlsx]'Coastal N Reductions'!AZ60", 622.2198)</f>
        <v>622.21979999999996</v>
      </c>
      <c r="AN100" s="40">
        <f>HYPERLINK("[N Only with New retention and Differentiation.xlsx]'Coastal N Reductions'!AZ60", 602.253)</f>
        <v>602.25300000000004</v>
      </c>
      <c r="AO100" s="42">
        <f>AM100-AL100</f>
        <v>-119.12279999999998</v>
      </c>
      <c r="AP100" s="42">
        <f>AN100-AL100</f>
        <v>-139.0895999999999</v>
      </c>
      <c r="AQ100" s="40">
        <f>HYPERLINK("[N Only Old retention.xlsx]'Coastal N Reductions'!BE60", 91.514)</f>
        <v>91.513999999999996</v>
      </c>
      <c r="AR100" s="40">
        <f>HYPERLINK("[N Only New retention.xlsx]'Coastal N Reductions'!BE60", 74.38)</f>
        <v>74.38</v>
      </c>
      <c r="AS100" s="40">
        <f>HYPERLINK("[N Only with New retention and Differentiation.xlsx]'Coastal N Reductions'!BE60", 66.91)</f>
        <v>66.91</v>
      </c>
      <c r="AT100" s="42">
        <f>AR100-AQ100</f>
        <v>-17.134</v>
      </c>
      <c r="AU100" s="42">
        <f>AS100-AQ100</f>
        <v>-24.603999999999999</v>
      </c>
      <c r="AV100" s="40">
        <f>HYPERLINK("[N Only Old retention.xlsx]'Coastal N Reductions'!BC60", 7.12)</f>
        <v>7.12</v>
      </c>
      <c r="AW100" s="40">
        <f>HYPERLINK("[N Only New retention.xlsx]'Coastal N Reductions'!BC60", 7.12)</f>
        <v>7.12</v>
      </c>
      <c r="AX100" s="40">
        <f>HYPERLINK("[N Only with New retention and Differentiation.xlsx]'Coastal N Reductions'!BC60", 22.55)</f>
        <v>22.55</v>
      </c>
      <c r="AY100" s="18"/>
      <c r="AZ100" s="41">
        <f>AX100-AV100</f>
        <v>15.43</v>
      </c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</row>
    <row r="101" spans="1:62" x14ac:dyDescent="0.55000000000000004">
      <c r="A101" s="31">
        <v>216</v>
      </c>
      <c r="B101" s="5" t="s">
        <v>248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</row>
    <row r="102" spans="1:62" x14ac:dyDescent="0.55000000000000004">
      <c r="A102" s="30">
        <v>217</v>
      </c>
      <c r="B102" s="6" t="s">
        <v>249</v>
      </c>
      <c r="C102" s="40">
        <f>HYPERLINK("[N Only Old retention.xlsx]'Coastal N Reductions'!BD62", 1817.222)</f>
        <v>1817.222</v>
      </c>
      <c r="D102" s="40">
        <f>HYPERLINK("[N Only New retention.xlsx]'Coastal N Reductions'!BD62", 1548.846)</f>
        <v>1548.846</v>
      </c>
      <c r="E102" s="40">
        <f>HYPERLINK("[N Only with New retention and Differentiation.xlsx]'Coastal N Reductions'!BD62", 1595.592)</f>
        <v>1595.5920000000001</v>
      </c>
      <c r="F102" s="42">
        <f>D102-C102</f>
        <v>-268.37599999999998</v>
      </c>
      <c r="G102" s="42">
        <f>E102-C102</f>
        <v>-221.62999999999988</v>
      </c>
      <c r="H102" s="40">
        <f>HYPERLINK("[N Only Old retention.xlsx]'Coastal N Reductions'!AV62", 737.292)</f>
        <v>737.29200000000003</v>
      </c>
      <c r="I102" s="40">
        <f>HYPERLINK("[N Only New retention.xlsx]'Coastal N Reductions'!AV62", 834.972)</f>
        <v>834.97199999999998</v>
      </c>
      <c r="J102" s="40">
        <f>HYPERLINK("[N Only with New retention and Differentiation.xlsx]'Coastal N Reductions'!AV62", 800.774)</f>
        <v>800.774</v>
      </c>
      <c r="K102" s="41">
        <f>I102-H102</f>
        <v>97.67999999999995</v>
      </c>
      <c r="L102" s="41">
        <f>J102-H102</f>
        <v>63.481999999999971</v>
      </c>
      <c r="M102" s="40">
        <f>HYPERLINK("[N Only Old retention.xlsx]'Coastal N Reductions'!AX62", 1125.17)</f>
        <v>1125.17</v>
      </c>
      <c r="N102" s="40">
        <f>HYPERLINK("[N Only New retention.xlsx]'Coastal N Reductions'!AX62", 610.344)</f>
        <v>610.34400000000005</v>
      </c>
      <c r="O102" s="40">
        <f>HYPERLINK("[N Only with New retention and Differentiation.xlsx]'Coastal N Reductions'!AX62", 642.834)</f>
        <v>642.83399999999995</v>
      </c>
      <c r="P102" s="42">
        <f>N102-M102</f>
        <v>-514.82600000000002</v>
      </c>
      <c r="Q102" s="42">
        <f>O102-M102</f>
        <v>-482.33600000000013</v>
      </c>
      <c r="R102" s="40">
        <f>HYPERLINK("[N Only Old retention.xlsx]'Coastal N Reductions'!BF62", 112.088)</f>
        <v>112.08799999999999</v>
      </c>
      <c r="S102" s="40">
        <f>HYPERLINK("[N Only New retention.xlsx]'Coastal N Reductions'!BF62", 124.918)</f>
        <v>124.91800000000001</v>
      </c>
      <c r="T102" s="40">
        <f>HYPERLINK("[N Only with New retention and Differentiation.xlsx]'Coastal N Reductions'!BF62", 126.838)</f>
        <v>126.83799999999999</v>
      </c>
      <c r="U102" s="41">
        <f>S102-R102</f>
        <v>12.830000000000013</v>
      </c>
      <c r="V102" s="41">
        <f>T102-R102</f>
        <v>14.75</v>
      </c>
      <c r="W102" s="40">
        <f>HYPERLINK("[N Only Old retention.xlsx]'Coastal N Reductions'!BI62", 73.4279999999948)</f>
        <v>73.427999999994796</v>
      </c>
      <c r="X102" s="40">
        <f>HYPERLINK("[N Only New retention.xlsx]'Coastal N Reductions'!BI62", 74.304)</f>
        <v>74.304000000000002</v>
      </c>
      <c r="Y102" s="40">
        <f>HYPERLINK("[N Only with New retention and Differentiation.xlsx]'Coastal N Reductions'!BI62", 74.304)</f>
        <v>74.304000000000002</v>
      </c>
      <c r="Z102" s="41">
        <f>X102-W102</f>
        <v>0.87600000000520595</v>
      </c>
      <c r="AA102" s="41">
        <f>Y102-W102</f>
        <v>0.87600000000520595</v>
      </c>
      <c r="AB102" s="26">
        <f>HYPERLINK("[N Only Old retention.xlsx]'Coastal N Reductions'!BS62", 1200)</f>
        <v>1200</v>
      </c>
      <c r="AC102" s="26">
        <f>HYPERLINK("[N Only New retention.xlsx]'Coastal N Reductions'!BS62", 2400)</f>
        <v>2400</v>
      </c>
      <c r="AD102" s="26">
        <f>HYPERLINK("[N Only with New retention and Differentiation.xlsx]'Coastal N Reductions'!BS62", 2100)</f>
        <v>2100</v>
      </c>
      <c r="AE102" s="16">
        <f>AC102-AB102</f>
        <v>1200</v>
      </c>
      <c r="AF102" s="16">
        <f>AD102-AB102</f>
        <v>900</v>
      </c>
      <c r="AG102" s="40">
        <f>HYPERLINK("[N Only Old retention.xlsx]'Coastal N Reductions'!BH62", 58.516)</f>
        <v>58.515999999999998</v>
      </c>
      <c r="AH102" s="40">
        <f>HYPERLINK("[N Only New retention.xlsx]'Coastal N Reductions'!BH62", 62.276)</f>
        <v>62.276000000000003</v>
      </c>
      <c r="AI102" s="40">
        <f>HYPERLINK("[N Only with New retention and Differentiation.xlsx]'Coastal N Reductions'!BH62", 62.856)</f>
        <v>62.856000000000002</v>
      </c>
      <c r="AJ102" s="41">
        <f>AH102-AG102</f>
        <v>3.7600000000000051</v>
      </c>
      <c r="AK102" s="41">
        <f>AI102-AG102</f>
        <v>4.3400000000000034</v>
      </c>
      <c r="AL102" s="40">
        <f>HYPERLINK("[N Only Old retention.xlsx]'Coastal N Reductions'!AZ62", 532.2402)</f>
        <v>532.24019999999996</v>
      </c>
      <c r="AM102" s="40">
        <f>HYPERLINK("[N Only New retention.xlsx]'Coastal N Reductions'!AZ62", 575.874)</f>
        <v>575.87400000000002</v>
      </c>
      <c r="AN102" s="40">
        <f>HYPERLINK("[N Only with New retention and Differentiation.xlsx]'Coastal N Reductions'!AZ62", 554.9544)</f>
        <v>554.95439999999996</v>
      </c>
      <c r="AO102" s="41">
        <f>AM102-AL102</f>
        <v>43.633800000000065</v>
      </c>
      <c r="AP102" s="41">
        <f>AN102-AL102</f>
        <v>22.714200000000005</v>
      </c>
      <c r="AQ102" s="40">
        <f>HYPERLINK("[N Only Old retention.xlsx]'Coastal N Reductions'!BE62", 18.248)</f>
        <v>18.248000000000001</v>
      </c>
      <c r="AR102" s="40">
        <f>HYPERLINK("[N Only New retention.xlsx]'Coastal N Reductions'!BE62", 22.558)</f>
        <v>22.558</v>
      </c>
      <c r="AS102" s="40">
        <f>HYPERLINK("[N Only with New retention and Differentiation.xlsx]'Coastal N Reductions'!BE62", 22.662)</f>
        <v>22.661999999999999</v>
      </c>
      <c r="AT102" s="41">
        <f>AR102-AQ102</f>
        <v>4.3099999999999987</v>
      </c>
      <c r="AU102" s="41">
        <f>AS102-AQ102</f>
        <v>4.4139999999999979</v>
      </c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26">
        <f>HYPERLINK("[N Only Old retention.xlsx]'Coastal N Reductions'!BT62", 1)</f>
        <v>1</v>
      </c>
      <c r="BG102" s="26">
        <f>HYPERLINK("[N Only New retention.xlsx]'Coastal N Reductions'!BT62", 2)</f>
        <v>2</v>
      </c>
      <c r="BH102" s="26">
        <f>HYPERLINK("[N Only with New retention and Differentiation.xlsx]'Coastal N Reductions'!BT62", 2)</f>
        <v>2</v>
      </c>
      <c r="BI102" s="16">
        <f>BG102-BF102</f>
        <v>1</v>
      </c>
      <c r="BJ102" s="16">
        <f>BH102-BF102</f>
        <v>1</v>
      </c>
    </row>
    <row r="103" spans="1:62" x14ac:dyDescent="0.55000000000000004">
      <c r="A103" s="31">
        <v>219</v>
      </c>
      <c r="B103" s="5" t="s">
        <v>250</v>
      </c>
      <c r="C103" s="43">
        <f>HYPERLINK("[N Only Old retention.xlsx]'Coastal N Reductions'!BD63", 443.3)</f>
        <v>443.3</v>
      </c>
      <c r="D103" s="43">
        <f>HYPERLINK("[N Only New retention.xlsx]'Coastal N Reductions'!BD63", 395.36999999995)</f>
        <v>395.36999999994998</v>
      </c>
      <c r="E103" s="43">
        <f>HYPERLINK("[N Only with New retention and Differentiation.xlsx]'Coastal N Reductions'!BD63", 308.106)</f>
        <v>308.10599999999999</v>
      </c>
      <c r="F103" s="42">
        <f>D103-C103</f>
        <v>-47.930000000050029</v>
      </c>
      <c r="G103" s="42">
        <f>E103-C103</f>
        <v>-135.19400000000002</v>
      </c>
      <c r="H103" s="43">
        <f>HYPERLINK("[N Only Old retention.xlsx]'Coastal N Reductions'!AV63", 1112.30799999992)</f>
        <v>1112.30799999992</v>
      </c>
      <c r="I103" s="43">
        <f>HYPERLINK("[N Only New retention.xlsx]'Coastal N Reductions'!AV63", 1098.524)</f>
        <v>1098.5239999999999</v>
      </c>
      <c r="J103" s="43">
        <f>HYPERLINK("[N Only with New retention and Differentiation.xlsx]'Coastal N Reductions'!AV63", 1078.7699999998)</f>
        <v>1078.7699999997999</v>
      </c>
      <c r="K103" s="42">
        <f>I103-H103</f>
        <v>-13.78399999992007</v>
      </c>
      <c r="L103" s="42">
        <f>J103-H103</f>
        <v>-33.538000000120064</v>
      </c>
      <c r="M103" s="43">
        <f>HYPERLINK("[N Only Old retention.xlsx]'Coastal N Reductions'!AX63", 398.526)</f>
        <v>398.52600000000001</v>
      </c>
      <c r="N103" s="43">
        <f>HYPERLINK("[N Only New retention.xlsx]'Coastal N Reductions'!AX63", 387.824)</f>
        <v>387.82400000000001</v>
      </c>
      <c r="O103" s="43">
        <f>HYPERLINK("[N Only with New retention and Differentiation.xlsx]'Coastal N Reductions'!AX63", 400.044)</f>
        <v>400.04399999999998</v>
      </c>
      <c r="P103" s="42">
        <f>N103-M103</f>
        <v>-10.701999999999998</v>
      </c>
      <c r="Q103" s="41">
        <f>O103-M103</f>
        <v>1.5179999999999723</v>
      </c>
      <c r="R103" s="43">
        <f>HYPERLINK("[N Only Old retention.xlsx]'Coastal N Reductions'!BF63", 32.606)</f>
        <v>32.606000000000002</v>
      </c>
      <c r="S103" s="43">
        <f>HYPERLINK("[N Only New retention.xlsx]'Coastal N Reductions'!BF63", 64.504)</f>
        <v>64.504000000000005</v>
      </c>
      <c r="T103" s="43">
        <f>HYPERLINK("[N Only with New retention and Differentiation.xlsx]'Coastal N Reductions'!BF63", 243.156)</f>
        <v>243.15600000000001</v>
      </c>
      <c r="U103" s="41">
        <f>S103-R103</f>
        <v>31.898000000000003</v>
      </c>
      <c r="V103" s="41">
        <f>T103-R103</f>
        <v>210.55</v>
      </c>
      <c r="W103" s="43">
        <f>HYPERLINK("[N Only Old retention.xlsx]'Coastal N Reductions'!BI63", 60.08)</f>
        <v>60.08</v>
      </c>
      <c r="X103" s="43">
        <f>HYPERLINK("[N Only New retention.xlsx]'Coastal N Reductions'!BI63", 68.61)</f>
        <v>68.61</v>
      </c>
      <c r="Y103" s="43">
        <f>HYPERLINK("[N Only with New retention and Differentiation.xlsx]'Coastal N Reductions'!BI63", 57.2099999999944)</f>
        <v>57.209999999994402</v>
      </c>
      <c r="Z103" s="41">
        <f>X103-W103</f>
        <v>8.5300000000000011</v>
      </c>
      <c r="AA103" s="42">
        <f>Y103-W103</f>
        <v>-2.8700000000055965</v>
      </c>
      <c r="AB103" s="13"/>
      <c r="AC103" s="13"/>
      <c r="AD103" s="13"/>
      <c r="AE103" s="13"/>
      <c r="AF103" s="13"/>
      <c r="AG103" s="43">
        <f>HYPERLINK("[N Only Old retention.xlsx]'Coastal N Reductions'!BH63", 36.2139999999834)</f>
        <v>36.2139999999834</v>
      </c>
      <c r="AH103" s="43">
        <f>HYPERLINK("[N Only New retention.xlsx]'Coastal N Reductions'!BH63", 42.928)</f>
        <v>42.927999999999997</v>
      </c>
      <c r="AI103" s="43">
        <f>HYPERLINK("[N Only with New retention and Differentiation.xlsx]'Coastal N Reductions'!BH63", 40.2539999999872)</f>
        <v>40.253999999987201</v>
      </c>
      <c r="AJ103" s="41">
        <f>AH103-AG103</f>
        <v>6.7140000000165969</v>
      </c>
      <c r="AK103" s="41">
        <f>AI103-AG103</f>
        <v>4.0400000000038006</v>
      </c>
      <c r="AL103" s="43">
        <f>HYPERLINK("[N Only Old retention.xlsx]'Coastal N Reductions'!AZ63", 554.4312)</f>
        <v>554.43119999999999</v>
      </c>
      <c r="AM103" s="43">
        <f>HYPERLINK("[N Only New retention.xlsx]'Coastal N Reductions'!AZ63", 764.027999999861)</f>
        <v>764.02799999986098</v>
      </c>
      <c r="AN103" s="43">
        <f>HYPERLINK("[N Only with New retention and Differentiation.xlsx]'Coastal N Reductions'!AZ63", 765.4566)</f>
        <v>765.45659999999998</v>
      </c>
      <c r="AO103" s="41">
        <f>AM103-AL103</f>
        <v>209.59679999986099</v>
      </c>
      <c r="AP103" s="41">
        <f>AN103-AL103</f>
        <v>211.02539999999999</v>
      </c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</row>
    <row r="104" spans="1:62" x14ac:dyDescent="0.55000000000000004">
      <c r="A104" s="30">
        <v>221</v>
      </c>
      <c r="B104" s="6" t="s">
        <v>251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</row>
    <row r="105" spans="1:62" x14ac:dyDescent="0.55000000000000004">
      <c r="A105" s="31">
        <v>222</v>
      </c>
      <c r="B105" s="5" t="s">
        <v>252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</row>
    <row r="106" spans="1:62" x14ac:dyDescent="0.55000000000000004">
      <c r="A106" s="30">
        <v>224</v>
      </c>
      <c r="B106" s="6" t="s">
        <v>253</v>
      </c>
      <c r="C106" s="40">
        <f>HYPERLINK("[N Only Old retention.xlsx]'Coastal N Reductions'!BD66", 3103.03399999994)</f>
        <v>3103.0339999999401</v>
      </c>
      <c r="D106" s="40">
        <f>HYPERLINK("[N Only New retention.xlsx]'Coastal N Reductions'!BD66", 3283.384)</f>
        <v>3283.384</v>
      </c>
      <c r="E106" s="40">
        <f>HYPERLINK("[N Only with New retention and Differentiation.xlsx]'Coastal N Reductions'!BD66", 3282.95)</f>
        <v>3282.95</v>
      </c>
      <c r="F106" s="41">
        <f>D106-C106</f>
        <v>180.35000000005994</v>
      </c>
      <c r="G106" s="41">
        <f>E106-C106</f>
        <v>179.91600000005974</v>
      </c>
      <c r="H106" s="40">
        <f>HYPERLINK("[N Only Old retention.xlsx]'Coastal N Reductions'!AV66", 614.73)</f>
        <v>614.73</v>
      </c>
      <c r="I106" s="40">
        <f>HYPERLINK("[N Only New retention.xlsx]'Coastal N Reductions'!AV66", 648.462)</f>
        <v>648.46199999999999</v>
      </c>
      <c r="J106" s="40">
        <f>HYPERLINK("[N Only with New retention and Differentiation.xlsx]'Coastal N Reductions'!AV66", 648.462)</f>
        <v>648.46199999999999</v>
      </c>
      <c r="K106" s="41">
        <f>I106-H106</f>
        <v>33.731999999999971</v>
      </c>
      <c r="L106" s="41">
        <f>J106-H106</f>
        <v>33.731999999999971</v>
      </c>
      <c r="M106" s="40">
        <f>HYPERLINK("[N Only Old retention.xlsx]'Coastal N Reductions'!AX66", 132.234)</f>
        <v>132.23400000000001</v>
      </c>
      <c r="N106" s="40">
        <f>HYPERLINK("[N Only New retention.xlsx]'Coastal N Reductions'!AX66", 116.816)</f>
        <v>116.816</v>
      </c>
      <c r="O106" s="40">
        <f>HYPERLINK("[N Only with New retention and Differentiation.xlsx]'Coastal N Reductions'!AX66", 116.816)</f>
        <v>116.816</v>
      </c>
      <c r="P106" s="42">
        <f>N106-M106</f>
        <v>-15.418000000000006</v>
      </c>
      <c r="Q106" s="42">
        <f>O106-M106</f>
        <v>-15.418000000000006</v>
      </c>
      <c r="R106" s="40">
        <f>HYPERLINK("[N Only Old retention.xlsx]'Coastal N Reductions'!BF66", 2.02)</f>
        <v>2.02</v>
      </c>
      <c r="S106" s="40">
        <f>HYPERLINK("[N Only New retention.xlsx]'Coastal N Reductions'!BF66", 2.02)</f>
        <v>2.02</v>
      </c>
      <c r="T106" s="40">
        <f>HYPERLINK("[N Only with New retention and Differentiation.xlsx]'Coastal N Reductions'!BF66", 2.02)</f>
        <v>2.02</v>
      </c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40">
        <f>HYPERLINK("[N Only Old retention.xlsx]'Coastal N Reductions'!BH66", 40.558)</f>
        <v>40.558</v>
      </c>
      <c r="AH106" s="40">
        <f>HYPERLINK("[N Only New retention.xlsx]'Coastal N Reductions'!BH66", 51.542)</f>
        <v>51.542000000000002</v>
      </c>
      <c r="AI106" s="40">
        <f>HYPERLINK("[N Only with New retention and Differentiation.xlsx]'Coastal N Reductions'!BH66", 51.542)</f>
        <v>51.542000000000002</v>
      </c>
      <c r="AJ106" s="41">
        <f>AH106-AG106</f>
        <v>10.984000000000002</v>
      </c>
      <c r="AK106" s="41">
        <f>AI106-AG106</f>
        <v>10.984000000000002</v>
      </c>
      <c r="AL106" s="40">
        <f>HYPERLINK("[N Only Old retention.xlsx]'Coastal N Reductions'!AZ66", 157.8042)</f>
        <v>157.80420000000001</v>
      </c>
      <c r="AM106" s="40">
        <f>HYPERLINK("[N Only New retention.xlsx]'Coastal N Reductions'!AZ66", 219.4398)</f>
        <v>219.43979999999999</v>
      </c>
      <c r="AN106" s="40">
        <f>HYPERLINK("[N Only with New retention and Differentiation.xlsx]'Coastal N Reductions'!AZ66", 218.463)</f>
        <v>218.46299999999999</v>
      </c>
      <c r="AO106" s="41">
        <f>AM106-AL106</f>
        <v>61.635599999999982</v>
      </c>
      <c r="AP106" s="41">
        <f>AN106-AL106</f>
        <v>60.658799999999985</v>
      </c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</row>
    <row r="107" spans="1:62" x14ac:dyDescent="0.55000000000000004">
      <c r="A107" s="31">
        <v>225</v>
      </c>
      <c r="B107" s="5" t="s">
        <v>254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</row>
    <row r="108" spans="1:62" x14ac:dyDescent="0.55000000000000004">
      <c r="A108" s="30">
        <v>231</v>
      </c>
      <c r="B108" s="6" t="s">
        <v>255</v>
      </c>
      <c r="C108" s="40">
        <f>HYPERLINK("[N Only Old retention.xlsx]'Coastal N Reductions'!BD68", 561.497999999942)</f>
        <v>561.49799999994195</v>
      </c>
      <c r="D108" s="40">
        <f>HYPERLINK("[N Only New retention.xlsx]'Coastal N Reductions'!BD68", 871.894)</f>
        <v>871.89400000000001</v>
      </c>
      <c r="E108" s="40">
        <f>HYPERLINK("[N Only with New retention and Differentiation.xlsx]'Coastal N Reductions'!BD68", 873.574)</f>
        <v>873.57399999999996</v>
      </c>
      <c r="F108" s="41">
        <f>D108-C108</f>
        <v>310.39600000005805</v>
      </c>
      <c r="G108" s="41">
        <f>E108-C108</f>
        <v>312.076000000058</v>
      </c>
      <c r="H108" s="40">
        <f>HYPERLINK("[N Only Old retention.xlsx]'Coastal N Reductions'!AV68", 106.298)</f>
        <v>106.298</v>
      </c>
      <c r="I108" s="40">
        <f>HYPERLINK("[N Only New retention.xlsx]'Coastal N Reductions'!AV68", 50.004)</f>
        <v>50.003999999999998</v>
      </c>
      <c r="J108" s="40">
        <f>HYPERLINK("[N Only with New retention and Differentiation.xlsx]'Coastal N Reductions'!AV68", 43.812)</f>
        <v>43.811999999999998</v>
      </c>
      <c r="K108" s="42">
        <f>I108-H108</f>
        <v>-56.294000000000004</v>
      </c>
      <c r="L108" s="42">
        <f>J108-H108</f>
        <v>-62.486000000000004</v>
      </c>
      <c r="M108" s="40">
        <f>HYPERLINK("[N Only Old retention.xlsx]'Coastal N Reductions'!AX68", 348.056)</f>
        <v>348.05599999999998</v>
      </c>
      <c r="N108" s="40">
        <f>HYPERLINK("[N Only New retention.xlsx]'Coastal N Reductions'!AX68", 275.7)</f>
        <v>275.7</v>
      </c>
      <c r="O108" s="40">
        <f>HYPERLINK("[N Only with New retention and Differentiation.xlsx]'Coastal N Reductions'!AX68", 274.02)</f>
        <v>274.02</v>
      </c>
      <c r="P108" s="42">
        <f>N108-M108</f>
        <v>-72.355999999999995</v>
      </c>
      <c r="Q108" s="42">
        <f>O108-M108</f>
        <v>-74.036000000000001</v>
      </c>
      <c r="R108" s="40">
        <f>HYPERLINK("[N Only Old retention.xlsx]'Coastal N Reductions'!BF68", 54.15)</f>
        <v>54.15</v>
      </c>
      <c r="S108" s="40">
        <f>HYPERLINK("[N Only New retention.xlsx]'Coastal N Reductions'!BF68", 54.15)</f>
        <v>54.15</v>
      </c>
      <c r="T108" s="40">
        <f>HYPERLINK("[N Only with New retention and Differentiation.xlsx]'Coastal N Reductions'!BF68", 54.15)</f>
        <v>54.15</v>
      </c>
      <c r="U108" s="18"/>
      <c r="V108" s="18"/>
      <c r="W108" s="18"/>
      <c r="X108" s="40">
        <f>HYPERLINK("[N Only New retention.xlsx]'Coastal N Reductions'!BI68", 0.12)</f>
        <v>0.12</v>
      </c>
      <c r="Y108" s="40">
        <f>HYPERLINK("[N Only with New retention and Differentiation.xlsx]'Coastal N Reductions'!BI68", 0.12)</f>
        <v>0.12</v>
      </c>
      <c r="Z108" s="41">
        <f>X108-W108</f>
        <v>0.12</v>
      </c>
      <c r="AA108" s="41">
        <f>Y108-W108</f>
        <v>0.12</v>
      </c>
      <c r="AB108" s="26">
        <f>HYPERLINK("[N Only Old retention.xlsx]'Coastal N Reductions'!BS68", 2000)</f>
        <v>2000</v>
      </c>
      <c r="AC108" s="26">
        <f>HYPERLINK("[N Only New retention.xlsx]'Coastal N Reductions'!BS68", 2040)</f>
        <v>2040</v>
      </c>
      <c r="AD108" s="26">
        <f>HYPERLINK("[N Only with New retention and Differentiation.xlsx]'Coastal N Reductions'!BS68", 2040)</f>
        <v>2040</v>
      </c>
      <c r="AE108" s="16">
        <f>AC108-AB108</f>
        <v>40</v>
      </c>
      <c r="AF108" s="16">
        <f>AD108-AB108</f>
        <v>40</v>
      </c>
      <c r="AG108" s="40">
        <f>HYPERLINK("[N Only Old retention.xlsx]'Coastal N Reductions'!BH68", 6.26)</f>
        <v>6.26</v>
      </c>
      <c r="AH108" s="40">
        <f>HYPERLINK("[N Only New retention.xlsx]'Coastal N Reductions'!BH68", 7.854)</f>
        <v>7.8540000000000001</v>
      </c>
      <c r="AI108" s="40">
        <f>HYPERLINK("[N Only with New retention and Differentiation.xlsx]'Coastal N Reductions'!BH68", 7.854)</f>
        <v>7.8540000000000001</v>
      </c>
      <c r="AJ108" s="41">
        <f>AH108-AG108</f>
        <v>1.5940000000000003</v>
      </c>
      <c r="AK108" s="41">
        <f>AI108-AG108</f>
        <v>1.5940000000000003</v>
      </c>
      <c r="AL108" s="40">
        <f>HYPERLINK("[N Only Old retention.xlsx]'Coastal N Reductions'!AZ68", 18.5586)</f>
        <v>18.558599999999998</v>
      </c>
      <c r="AM108" s="40">
        <f>HYPERLINK("[N Only New retention.xlsx]'Coastal N Reductions'!AZ68", 16.8018)</f>
        <v>16.8018</v>
      </c>
      <c r="AN108" s="40">
        <f>HYPERLINK("[N Only with New retention and Differentiation.xlsx]'Coastal N Reductions'!AZ68", 16.8018)</f>
        <v>16.8018</v>
      </c>
      <c r="AO108" s="42">
        <f>AM108-AL108</f>
        <v>-1.7567999999999984</v>
      </c>
      <c r="AP108" s="42">
        <f>AN108-AL108</f>
        <v>-1.7567999999999984</v>
      </c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26">
        <f>HYPERLINK("[N Only Old retention.xlsx]'Coastal N Reductions'!BT68", 1)</f>
        <v>1</v>
      </c>
      <c r="BG108" s="26">
        <f>HYPERLINK("[N Only New retention.xlsx]'Coastal N Reductions'!BT68", 2)</f>
        <v>2</v>
      </c>
      <c r="BH108" s="26">
        <f>HYPERLINK("[N Only with New retention and Differentiation.xlsx]'Coastal N Reductions'!BT68", 2)</f>
        <v>2</v>
      </c>
      <c r="BI108" s="16">
        <f>BG108-BF108</f>
        <v>1</v>
      </c>
      <c r="BJ108" s="16">
        <f>BH108-BF108</f>
        <v>1</v>
      </c>
    </row>
    <row r="109" spans="1:62" x14ac:dyDescent="0.55000000000000004">
      <c r="A109" s="31">
        <v>232</v>
      </c>
      <c r="B109" s="5" t="s">
        <v>256</v>
      </c>
      <c r="C109" s="43">
        <f>HYPERLINK("[N Only Old retention.xlsx]'Coastal N Reductions'!BD69", 4715.56199999994)</f>
        <v>4715.5619999999399</v>
      </c>
      <c r="D109" s="43">
        <f>HYPERLINK("[N Only New retention.xlsx]'Coastal N Reductions'!BD69", 4940.356)</f>
        <v>4940.3559999999998</v>
      </c>
      <c r="E109" s="43">
        <f>HYPERLINK("[N Only with New retention and Differentiation.xlsx]'Coastal N Reductions'!BD69", 4980.086)</f>
        <v>4980.0860000000002</v>
      </c>
      <c r="F109" s="41">
        <f>D109-C109</f>
        <v>224.7940000000599</v>
      </c>
      <c r="G109" s="41">
        <f>E109-C109</f>
        <v>264.52400000006037</v>
      </c>
      <c r="H109" s="43">
        <f>HYPERLINK("[N Only Old retention.xlsx]'Coastal N Reductions'!AV69", 1206.106)</f>
        <v>1206.106</v>
      </c>
      <c r="I109" s="43">
        <f>HYPERLINK("[N Only New retention.xlsx]'Coastal N Reductions'!AV69", 1879.756)</f>
        <v>1879.7560000000001</v>
      </c>
      <c r="J109" s="43">
        <f>HYPERLINK("[N Only with New retention and Differentiation.xlsx]'Coastal N Reductions'!AV69", 1868.216)</f>
        <v>1868.2159999999999</v>
      </c>
      <c r="K109" s="41">
        <f>I109-H109</f>
        <v>673.65000000000009</v>
      </c>
      <c r="L109" s="41">
        <f>J109-H109</f>
        <v>662.1099999999999</v>
      </c>
      <c r="M109" s="43">
        <f>HYPERLINK("[N Only Old retention.xlsx]'Coastal N Reductions'!AX69", 241.044)</f>
        <v>241.04400000000001</v>
      </c>
      <c r="N109" s="43">
        <f>HYPERLINK("[N Only New retention.xlsx]'Coastal N Reductions'!AX69", 352.394)</f>
        <v>352.39400000000001</v>
      </c>
      <c r="O109" s="43">
        <f>HYPERLINK("[N Only with New retention and Differentiation.xlsx]'Coastal N Reductions'!AX69", 352.394)</f>
        <v>352.39400000000001</v>
      </c>
      <c r="P109" s="41">
        <f>N109-M109</f>
        <v>111.35</v>
      </c>
      <c r="Q109" s="41">
        <f>O109-M109</f>
        <v>111.35</v>
      </c>
      <c r="R109" s="43">
        <f>HYPERLINK("[N Only Old retention.xlsx]'Coastal N Reductions'!BF69", 1091.064)</f>
        <v>1091.0640000000001</v>
      </c>
      <c r="S109" s="43">
        <f>HYPERLINK("[N Only New retention.xlsx]'Coastal N Reductions'!BF69", 634.604)</f>
        <v>634.60400000000004</v>
      </c>
      <c r="T109" s="43">
        <f>HYPERLINK("[N Only with New retention and Differentiation.xlsx]'Coastal N Reductions'!BF69", 624.964)</f>
        <v>624.96400000000006</v>
      </c>
      <c r="U109" s="42">
        <f>S109-R109</f>
        <v>-456.46000000000004</v>
      </c>
      <c r="V109" s="42">
        <f>T109-R109</f>
        <v>-466.1</v>
      </c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43">
        <f>HYPERLINK("[N Only Old retention.xlsx]'Coastal N Reductions'!BH69", 326.345999999968)</f>
        <v>326.345999999968</v>
      </c>
      <c r="AH109" s="43">
        <f>HYPERLINK("[N Only New retention.xlsx]'Coastal N Reductions'!BH69", 369.118)</f>
        <v>369.11799999999999</v>
      </c>
      <c r="AI109" s="43">
        <f>HYPERLINK("[N Only with New retention and Differentiation.xlsx]'Coastal N Reductions'!BH69", 369.118)</f>
        <v>369.11799999999999</v>
      </c>
      <c r="AJ109" s="41">
        <f>AH109-AG109</f>
        <v>42.772000000031994</v>
      </c>
      <c r="AK109" s="41">
        <f>AI109-AG109</f>
        <v>42.772000000031994</v>
      </c>
      <c r="AL109" s="43">
        <f>HYPERLINK("[N Only Old retention.xlsx]'Coastal N Reductions'!AZ69", 40.6134)</f>
        <v>40.613399999999999</v>
      </c>
      <c r="AM109" s="43">
        <f>HYPERLINK("[N Only New retention.xlsx]'Coastal N Reductions'!AZ69", 144.303)</f>
        <v>144.303</v>
      </c>
      <c r="AN109" s="43">
        <f>HYPERLINK("[N Only with New retention and Differentiation.xlsx]'Coastal N Reductions'!AZ69", 144.303)</f>
        <v>144.303</v>
      </c>
      <c r="AO109" s="41">
        <f>AM109-AL109</f>
        <v>103.6896</v>
      </c>
      <c r="AP109" s="41">
        <f>AN109-AL109</f>
        <v>103.6896</v>
      </c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</row>
    <row r="110" spans="1:62" x14ac:dyDescent="0.55000000000000004">
      <c r="A110" s="30">
        <v>233</v>
      </c>
      <c r="B110" s="6" t="s">
        <v>257</v>
      </c>
      <c r="C110" s="40">
        <f>HYPERLINK("[N Only Old retention.xlsx]'Coastal N Reductions'!BD70", 6134.95399999956)</f>
        <v>6134.9539999995604</v>
      </c>
      <c r="D110" s="40">
        <f>HYPERLINK("[N Only New retention.xlsx]'Coastal N Reductions'!BD70", 4781.526)</f>
        <v>4781.5259999999998</v>
      </c>
      <c r="E110" s="40">
        <f>HYPERLINK("[N Only with New retention and Differentiation.xlsx]'Coastal N Reductions'!BD70", 4876.746)</f>
        <v>4876.7460000000001</v>
      </c>
      <c r="F110" s="42">
        <f>D110-C110</f>
        <v>-1353.4279999995606</v>
      </c>
      <c r="G110" s="42">
        <f>E110-C110</f>
        <v>-1258.2079999995603</v>
      </c>
      <c r="H110" s="40">
        <f>HYPERLINK("[N Only Old retention.xlsx]'Coastal N Reductions'!AV70", 1990.086)</f>
        <v>1990.086</v>
      </c>
      <c r="I110" s="40">
        <f>HYPERLINK("[N Only New retention.xlsx]'Coastal N Reductions'!AV70", 2181.404)</f>
        <v>2181.404</v>
      </c>
      <c r="J110" s="40">
        <f>HYPERLINK("[N Only with New retention and Differentiation.xlsx]'Coastal N Reductions'!AV70", 2303.054)</f>
        <v>2303.0540000000001</v>
      </c>
      <c r="K110" s="41">
        <f>I110-H110</f>
        <v>191.31799999999998</v>
      </c>
      <c r="L110" s="41">
        <f>J110-H110</f>
        <v>312.96800000000007</v>
      </c>
      <c r="M110" s="40">
        <f>HYPERLINK("[N Only Old retention.xlsx]'Coastal N Reductions'!AX70", 419.935999999893)</f>
        <v>419.935999999893</v>
      </c>
      <c r="N110" s="40">
        <f>HYPERLINK("[N Only New retention.xlsx]'Coastal N Reductions'!AX70", 426.438)</f>
        <v>426.43799999999999</v>
      </c>
      <c r="O110" s="40">
        <f>HYPERLINK("[N Only with New retention and Differentiation.xlsx]'Coastal N Reductions'!AX70", 422.438)</f>
        <v>422.43799999999999</v>
      </c>
      <c r="P110" s="41">
        <f>N110-M110</f>
        <v>6.5020000001069889</v>
      </c>
      <c r="Q110" s="41">
        <f>O110-M110</f>
        <v>2.5020000001069889</v>
      </c>
      <c r="R110" s="40">
        <f>HYPERLINK("[N Only Old retention.xlsx]'Coastal N Reductions'!BF70", 2949.71806479477)</f>
        <v>2949.7180647947698</v>
      </c>
      <c r="S110" s="40">
        <f>HYPERLINK("[N Only New retention.xlsx]'Coastal N Reductions'!BF70", 3063.93806479482)</f>
        <v>3063.9380647948201</v>
      </c>
      <c r="T110" s="40">
        <f>HYPERLINK("[N Only with New retention and Differentiation.xlsx]'Coastal N Reductions'!BF70", 2984.94806479482)</f>
        <v>2984.9480647948199</v>
      </c>
      <c r="U110" s="41">
        <f>S110-R110</f>
        <v>114.22000000005028</v>
      </c>
      <c r="V110" s="41">
        <f>T110-R110</f>
        <v>35.23000000005004</v>
      </c>
      <c r="W110" s="40">
        <f>HYPERLINK("[N Only Old retention.xlsx]'Coastal N Reductions'!BI70", 1.214)</f>
        <v>1.214</v>
      </c>
      <c r="X110" s="40">
        <f>HYPERLINK("[N Only New retention.xlsx]'Coastal N Reductions'!BI70", 260.908)</f>
        <v>260.90800000000002</v>
      </c>
      <c r="Y110" s="40">
        <f>HYPERLINK("[N Only with New retention and Differentiation.xlsx]'Coastal N Reductions'!BI70", 261.258)</f>
        <v>261.25799999999998</v>
      </c>
      <c r="Z110" s="41">
        <f>X110-W110</f>
        <v>259.69400000000002</v>
      </c>
      <c r="AA110" s="41">
        <f>Y110-W110</f>
        <v>260.04399999999998</v>
      </c>
      <c r="AB110" s="18"/>
      <c r="AC110" s="18"/>
      <c r="AD110" s="18"/>
      <c r="AE110" s="18"/>
      <c r="AF110" s="18"/>
      <c r="AG110" s="40">
        <f>HYPERLINK("[N Only Old retention.xlsx]'Coastal N Reductions'!BH70", 216.694569444318)</f>
        <v>216.69456944431801</v>
      </c>
      <c r="AH110" s="40">
        <f>HYPERLINK("[N Only New retention.xlsx]'Coastal N Reductions'!BH70", 332.278569444427)</f>
        <v>332.27856944442698</v>
      </c>
      <c r="AI110" s="40">
        <f>HYPERLINK("[N Only with New retention and Differentiation.xlsx]'Coastal N Reductions'!BH70", 335.188569444404)</f>
        <v>335.18856944440398</v>
      </c>
      <c r="AJ110" s="41">
        <f>AH110-AG110</f>
        <v>115.58400000010897</v>
      </c>
      <c r="AK110" s="41">
        <f>AI110-AG110</f>
        <v>118.49400000008598</v>
      </c>
      <c r="AL110" s="40">
        <f>HYPERLINK("[N Only Old retention.xlsx]'Coastal N Reductions'!AZ70", 154.6992)</f>
        <v>154.69919999999999</v>
      </c>
      <c r="AM110" s="40">
        <f>HYPERLINK("[N Only New retention.xlsx]'Coastal N Reductions'!AZ70", 314.5092)</f>
        <v>314.50920000000002</v>
      </c>
      <c r="AN110" s="40">
        <f>HYPERLINK("[N Only with New retention and Differentiation.xlsx]'Coastal N Reductions'!AZ70", 417.4044)</f>
        <v>417.40440000000001</v>
      </c>
      <c r="AO110" s="41">
        <f>AM110-AL110</f>
        <v>159.81000000000003</v>
      </c>
      <c r="AP110" s="41">
        <f>AN110-AL110</f>
        <v>262.70519999999999</v>
      </c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</row>
    <row r="111" spans="1:62" x14ac:dyDescent="0.55000000000000004">
      <c r="A111" s="31">
        <v>234</v>
      </c>
      <c r="B111" s="5" t="s">
        <v>258</v>
      </c>
      <c r="C111" s="43">
        <f>HYPERLINK("[N Only Old retention.xlsx]'Coastal N Reductions'!BD71", 4189.92399999947)</f>
        <v>4189.9239999994697</v>
      </c>
      <c r="D111" s="43">
        <f>HYPERLINK("[N Only New retention.xlsx]'Coastal N Reductions'!BD71", 3497.028)</f>
        <v>3497.0279999999998</v>
      </c>
      <c r="E111" s="43">
        <f>HYPERLINK("[N Only with New retention and Differentiation.xlsx]'Coastal N Reductions'!BD71", 3495.298)</f>
        <v>3495.2979999999998</v>
      </c>
      <c r="F111" s="42">
        <f>D111-C111</f>
        <v>-692.89599999946995</v>
      </c>
      <c r="G111" s="42">
        <f>E111-C111</f>
        <v>-694.62599999946997</v>
      </c>
      <c r="H111" s="43">
        <f>HYPERLINK("[N Only Old retention.xlsx]'Coastal N Reductions'!AV71", 1437.6919999999)</f>
        <v>1437.6919999999</v>
      </c>
      <c r="I111" s="43">
        <f>HYPERLINK("[N Only New retention.xlsx]'Coastal N Reductions'!AV71", 860.134)</f>
        <v>860.13400000000001</v>
      </c>
      <c r="J111" s="43">
        <f>HYPERLINK("[N Only with New retention and Differentiation.xlsx]'Coastal N Reductions'!AV71", 860.622)</f>
        <v>860.62199999999996</v>
      </c>
      <c r="K111" s="42">
        <f>I111-H111</f>
        <v>-577.55799999989995</v>
      </c>
      <c r="L111" s="42">
        <f>J111-H111</f>
        <v>-577.06999999990001</v>
      </c>
      <c r="M111" s="43">
        <f>HYPERLINK("[N Only Old retention.xlsx]'Coastal N Reductions'!AX71", 136.906)</f>
        <v>136.90600000000001</v>
      </c>
      <c r="N111" s="43">
        <f>HYPERLINK("[N Only New retention.xlsx]'Coastal N Reductions'!AX71", 30.056)</f>
        <v>30.056000000000001</v>
      </c>
      <c r="O111" s="43">
        <f>HYPERLINK("[N Only with New retention and Differentiation.xlsx]'Coastal N Reductions'!AX71", 30.056)</f>
        <v>30.056000000000001</v>
      </c>
      <c r="P111" s="42">
        <f>N111-M111</f>
        <v>-106.85000000000001</v>
      </c>
      <c r="Q111" s="42">
        <f>O111-M111</f>
        <v>-106.85000000000001</v>
      </c>
      <c r="R111" s="43">
        <f>HYPERLINK("[N Only Old retention.xlsx]'Coastal N Reductions'!BF71", 189.45)</f>
        <v>189.45</v>
      </c>
      <c r="S111" s="43">
        <f>HYPERLINK("[N Only New retention.xlsx]'Coastal N Reductions'!BF71", 60.62)</f>
        <v>60.62</v>
      </c>
      <c r="T111" s="43">
        <f>HYPERLINK("[N Only with New retention and Differentiation.xlsx]'Coastal N Reductions'!BF71", 60.62)</f>
        <v>60.62</v>
      </c>
      <c r="U111" s="42">
        <f>S111-R111</f>
        <v>-128.82999999999998</v>
      </c>
      <c r="V111" s="42">
        <f>T111-R111</f>
        <v>-128.82999999999998</v>
      </c>
      <c r="W111" s="43">
        <f>HYPERLINK("[N Only Old retention.xlsx]'Coastal N Reductions'!BI71", 42.7283666666614)</f>
        <v>42.728366666661401</v>
      </c>
      <c r="X111" s="13"/>
      <c r="Y111" s="13"/>
      <c r="Z111" s="42">
        <f>X111-W111</f>
        <v>-42.728366666661401</v>
      </c>
      <c r="AA111" s="42">
        <f>Y111-W111</f>
        <v>-42.728366666661401</v>
      </c>
      <c r="AB111" s="13"/>
      <c r="AC111" s="13"/>
      <c r="AD111" s="13"/>
      <c r="AE111" s="13"/>
      <c r="AF111" s="13"/>
      <c r="AG111" s="43">
        <f>HYPERLINK("[N Only Old retention.xlsx]'Coastal N Reductions'!BH71", 1042.77780117802)</f>
        <v>1042.7778011780199</v>
      </c>
      <c r="AH111" s="43">
        <f>HYPERLINK("[N Only New retention.xlsx]'Coastal N Reductions'!BH71", 366.943801178203)</f>
        <v>366.94380117820299</v>
      </c>
      <c r="AI111" s="43">
        <f>HYPERLINK("[N Only with New retention and Differentiation.xlsx]'Coastal N Reductions'!BH71", 367.917801178203)</f>
        <v>367.91780117820298</v>
      </c>
      <c r="AJ111" s="42">
        <f>AH111-AG111</f>
        <v>-675.83399999981691</v>
      </c>
      <c r="AK111" s="42">
        <f>AI111-AG111</f>
        <v>-674.85999999981686</v>
      </c>
      <c r="AL111" s="43">
        <f>HYPERLINK("[N Only Old retention.xlsx]'Coastal N Reductions'!AZ71", 160.5684)</f>
        <v>160.5684</v>
      </c>
      <c r="AM111" s="13"/>
      <c r="AN111" s="13"/>
      <c r="AO111" s="42">
        <f>AM111-AL111</f>
        <v>-160.5684</v>
      </c>
      <c r="AP111" s="42">
        <f>AN111-AL111</f>
        <v>-160.5684</v>
      </c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</row>
    <row r="112" spans="1:62" x14ac:dyDescent="0.55000000000000004">
      <c r="A112" s="30">
        <v>235</v>
      </c>
      <c r="B112" s="6" t="s">
        <v>259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</row>
    <row r="113" spans="1:62" x14ac:dyDescent="0.55000000000000004">
      <c r="A113" s="31">
        <v>236</v>
      </c>
      <c r="B113" s="5" t="s">
        <v>260</v>
      </c>
      <c r="C113" s="43">
        <f>HYPERLINK("[N Only Old retention.xlsx]'Coastal N Reductions'!BD73", 10290.436)</f>
        <v>10290.436</v>
      </c>
      <c r="D113" s="43">
        <f>HYPERLINK("[N Only New retention.xlsx]'Coastal N Reductions'!BD73", 10177.344)</f>
        <v>10177.343999999999</v>
      </c>
      <c r="E113" s="43">
        <f>HYPERLINK("[N Only with New retention and Differentiation.xlsx]'Coastal N Reductions'!BD73", 10183.094)</f>
        <v>10183.093999999999</v>
      </c>
      <c r="F113" s="42">
        <f>D113-C113</f>
        <v>-113.09200000000055</v>
      </c>
      <c r="G113" s="42">
        <f>E113-C113</f>
        <v>-107.34200000000055</v>
      </c>
      <c r="H113" s="43">
        <f>HYPERLINK("[N Only Old retention.xlsx]'Coastal N Reductions'!AV73", 2167.62)</f>
        <v>2167.62</v>
      </c>
      <c r="I113" s="43">
        <f>HYPERLINK("[N Only New retention.xlsx]'Coastal N Reductions'!AV73", 2000.466)</f>
        <v>2000.4659999999999</v>
      </c>
      <c r="J113" s="43">
        <f>HYPERLINK("[N Only with New retention and Differentiation.xlsx]'Coastal N Reductions'!AV73", 2001.426)</f>
        <v>2001.4259999999999</v>
      </c>
      <c r="K113" s="42">
        <f>I113-H113</f>
        <v>-167.154</v>
      </c>
      <c r="L113" s="42">
        <f>J113-H113</f>
        <v>-166.19399999999996</v>
      </c>
      <c r="M113" s="43">
        <f>HYPERLINK("[N Only Old retention.xlsx]'Coastal N Reductions'!AX73", 1419.7)</f>
        <v>1419.7</v>
      </c>
      <c r="N113" s="43">
        <f>HYPERLINK("[N Only New retention.xlsx]'Coastal N Reductions'!AX73", 1068.11)</f>
        <v>1068.1099999999999</v>
      </c>
      <c r="O113" s="43">
        <f>HYPERLINK("[N Only with New retention and Differentiation.xlsx]'Coastal N Reductions'!AX73", 1068.11)</f>
        <v>1068.1099999999999</v>
      </c>
      <c r="P113" s="42">
        <f>N113-M113</f>
        <v>-351.59000000000015</v>
      </c>
      <c r="Q113" s="42">
        <f>O113-M113</f>
        <v>-351.59000000000015</v>
      </c>
      <c r="R113" s="43">
        <f>HYPERLINK("[N Only Old retention.xlsx]'Coastal N Reductions'!BF73", 189.468)</f>
        <v>189.46799999999999</v>
      </c>
      <c r="S113" s="43">
        <f>HYPERLINK("[N Only New retention.xlsx]'Coastal N Reductions'!BF73", 187.908)</f>
        <v>187.90799999999999</v>
      </c>
      <c r="T113" s="43">
        <f>HYPERLINK("[N Only with New retention and Differentiation.xlsx]'Coastal N Reductions'!BF73", 186.008)</f>
        <v>186.00800000000001</v>
      </c>
      <c r="U113" s="42">
        <f>S113-R113</f>
        <v>-1.5600000000000023</v>
      </c>
      <c r="V113" s="42">
        <f>T113-R113</f>
        <v>-3.4599999999999795</v>
      </c>
      <c r="W113" s="43">
        <f>HYPERLINK("[N Only Old retention.xlsx]'Coastal N Reductions'!BI73", 700.479764705882)</f>
        <v>700.47976470588196</v>
      </c>
      <c r="X113" s="43">
        <f>HYPERLINK("[N Only New retention.xlsx]'Coastal N Reductions'!BI73", 275.033764705882)</f>
        <v>275.03376470588199</v>
      </c>
      <c r="Y113" s="43">
        <f>HYPERLINK("[N Only with New retention and Differentiation.xlsx]'Coastal N Reductions'!BI73", 275.033764705882)</f>
        <v>275.03376470588199</v>
      </c>
      <c r="Z113" s="42">
        <f>X113-W113</f>
        <v>-425.44599999999997</v>
      </c>
      <c r="AA113" s="42">
        <f>Y113-W113</f>
        <v>-425.44599999999997</v>
      </c>
      <c r="AB113" s="13"/>
      <c r="AC113" s="13"/>
      <c r="AD113" s="13"/>
      <c r="AE113" s="13"/>
      <c r="AF113" s="13"/>
      <c r="AG113" s="43">
        <f>HYPERLINK("[N Only Old retention.xlsx]'Coastal N Reductions'!BH73", 533.962313333333)</f>
        <v>533.96231333333299</v>
      </c>
      <c r="AH113" s="43">
        <f>HYPERLINK("[N Only New retention.xlsx]'Coastal N Reductions'!BH73", 453.340313333333)</f>
        <v>453.34031333333297</v>
      </c>
      <c r="AI113" s="43">
        <f>HYPERLINK("[N Only with New retention and Differentiation.xlsx]'Coastal N Reductions'!BH73", 453.748313333333)</f>
        <v>453.74831333333299</v>
      </c>
      <c r="AJ113" s="42">
        <f>AH113-AG113</f>
        <v>-80.622000000000014</v>
      </c>
      <c r="AK113" s="42">
        <f>AI113-AG113</f>
        <v>-80.213999999999999</v>
      </c>
      <c r="AL113" s="43">
        <f>HYPERLINK("[N Only Old retention.xlsx]'Coastal N Reductions'!AZ73", 999.2982)</f>
        <v>999.29819999999995</v>
      </c>
      <c r="AM113" s="43">
        <f>HYPERLINK("[N Only New retention.xlsx]'Coastal N Reductions'!AZ73", 835.3206)</f>
        <v>835.32060000000001</v>
      </c>
      <c r="AN113" s="43">
        <f>HYPERLINK("[N Only with New retention and Differentiation.xlsx]'Coastal N Reductions'!AZ73", 835.3206)</f>
        <v>835.32060000000001</v>
      </c>
      <c r="AO113" s="42">
        <f>AM113-AL113</f>
        <v>-163.97759999999994</v>
      </c>
      <c r="AP113" s="42">
        <f>AN113-AL113</f>
        <v>-163.97759999999994</v>
      </c>
      <c r="AQ113" s="43">
        <f>HYPERLINK("[N Only Old retention.xlsx]'Coastal N Reductions'!BE73", 7.5)</f>
        <v>7.5</v>
      </c>
      <c r="AR113" s="43">
        <f>HYPERLINK("[N Only New retention.xlsx]'Coastal N Reductions'!BE73", 7.39)</f>
        <v>7.39</v>
      </c>
      <c r="AS113" s="43">
        <f>HYPERLINK("[N Only with New retention and Differentiation.xlsx]'Coastal N Reductions'!BE73", 4.89)</f>
        <v>4.8899999999999997</v>
      </c>
      <c r="AT113" s="42">
        <f>AR113-AQ113</f>
        <v>-0.11000000000000032</v>
      </c>
      <c r="AU113" s="42">
        <f>AS113-AQ113</f>
        <v>-2.6100000000000003</v>
      </c>
      <c r="AV113" s="43">
        <f>HYPERLINK("[N Only Old retention.xlsx]'Coastal N Reductions'!BC73", 4.4)</f>
        <v>4.4000000000000004</v>
      </c>
      <c r="AW113" s="13"/>
      <c r="AX113" s="43">
        <f>HYPERLINK("[N Only with New retention and Differentiation.xlsx]'Coastal N Reductions'!BC73", 4.4)</f>
        <v>4.4000000000000004</v>
      </c>
      <c r="AY113" s="42">
        <f>AW113-AV113</f>
        <v>-4.4000000000000004</v>
      </c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</row>
    <row r="114" spans="1:62" x14ac:dyDescent="0.55000000000000004">
      <c r="A114" s="30">
        <v>238</v>
      </c>
      <c r="B114" s="6" t="s">
        <v>261</v>
      </c>
      <c r="C114" s="40">
        <f>HYPERLINK("[N Only Old retention.xlsx]'Coastal N Reductions'!BD74", 5173.58999999973)</f>
        <v>5173.58999999973</v>
      </c>
      <c r="D114" s="40">
        <f>HYPERLINK("[N Only New retention.xlsx]'Coastal N Reductions'!BD74", 4721.858)</f>
        <v>4721.8580000000002</v>
      </c>
      <c r="E114" s="40">
        <f>HYPERLINK("[N Only with New retention and Differentiation.xlsx]'Coastal N Reductions'!BD74", 4717.938)</f>
        <v>4717.9380000000001</v>
      </c>
      <c r="F114" s="42">
        <f>D114-C114</f>
        <v>-451.73199999972985</v>
      </c>
      <c r="G114" s="42">
        <f>E114-C114</f>
        <v>-455.65199999972992</v>
      </c>
      <c r="H114" s="40">
        <f>HYPERLINK("[N Only Old retention.xlsx]'Coastal N Reductions'!AV74", 1491.01199999984)</f>
        <v>1491.0119999998401</v>
      </c>
      <c r="I114" s="40">
        <f>HYPERLINK("[N Only New retention.xlsx]'Coastal N Reductions'!AV74", 1471.758)</f>
        <v>1471.758</v>
      </c>
      <c r="J114" s="40">
        <f>HYPERLINK("[N Only with New retention and Differentiation.xlsx]'Coastal N Reductions'!AV74", 1468.512)</f>
        <v>1468.5119999999999</v>
      </c>
      <c r="K114" s="42">
        <f>I114-H114</f>
        <v>-19.253999999840062</v>
      </c>
      <c r="L114" s="42">
        <f>J114-H114</f>
        <v>-22.499999999840156</v>
      </c>
      <c r="M114" s="40">
        <f>HYPERLINK("[N Only Old retention.xlsx]'Coastal N Reductions'!AX74", 2.438)</f>
        <v>2.4380000000000002</v>
      </c>
      <c r="N114" s="40">
        <f>HYPERLINK("[N Only New retention.xlsx]'Coastal N Reductions'!AX74", 35.328)</f>
        <v>35.328000000000003</v>
      </c>
      <c r="O114" s="40">
        <f>HYPERLINK("[N Only with New retention and Differentiation.xlsx]'Coastal N Reductions'!AX74", 32.628)</f>
        <v>32.628</v>
      </c>
      <c r="P114" s="41">
        <f>N114-M114</f>
        <v>32.89</v>
      </c>
      <c r="Q114" s="41">
        <f>O114-M114</f>
        <v>30.19</v>
      </c>
      <c r="R114" s="40">
        <f>HYPERLINK("[N Only Old retention.xlsx]'Coastal N Reductions'!BF74", 154.404)</f>
        <v>154.404</v>
      </c>
      <c r="S114" s="40">
        <f>HYPERLINK("[N Only New retention.xlsx]'Coastal N Reductions'!BF74", 133.81)</f>
        <v>133.81</v>
      </c>
      <c r="T114" s="40">
        <f>HYPERLINK("[N Only with New retention and Differentiation.xlsx]'Coastal N Reductions'!BF74", 132.21)</f>
        <v>132.21</v>
      </c>
      <c r="U114" s="42">
        <f>S114-R114</f>
        <v>-20.593999999999994</v>
      </c>
      <c r="V114" s="42">
        <f>T114-R114</f>
        <v>-22.193999999999988</v>
      </c>
      <c r="W114" s="40">
        <f>HYPERLINK("[N Only Old retention.xlsx]'Coastal N Reductions'!BI74", 417.309999999992)</f>
        <v>417.30999999999199</v>
      </c>
      <c r="X114" s="40">
        <f>HYPERLINK("[N Only New retention.xlsx]'Coastal N Reductions'!BI74", 309.272)</f>
        <v>309.27199999999999</v>
      </c>
      <c r="Y114" s="40">
        <f>HYPERLINK("[N Only with New retention and Differentiation.xlsx]'Coastal N Reductions'!BI74", 308.532)</f>
        <v>308.53199999999998</v>
      </c>
      <c r="Z114" s="42">
        <f>X114-W114</f>
        <v>-108.037999999992</v>
      </c>
      <c r="AA114" s="42">
        <f>Y114-W114</f>
        <v>-108.77799999999201</v>
      </c>
      <c r="AB114" s="18"/>
      <c r="AC114" s="18"/>
      <c r="AD114" s="18"/>
      <c r="AE114" s="18"/>
      <c r="AF114" s="18"/>
      <c r="AG114" s="40">
        <f>HYPERLINK("[N Only Old retention.xlsx]'Coastal N Reductions'!BH74", 48.456)</f>
        <v>48.456000000000003</v>
      </c>
      <c r="AH114" s="40">
        <f>HYPERLINK("[N Only New retention.xlsx]'Coastal N Reductions'!BH74", 45.5139999999774)</f>
        <v>45.513999999977401</v>
      </c>
      <c r="AI114" s="40">
        <f>HYPERLINK("[N Only with New retention and Differentiation.xlsx]'Coastal N Reductions'!BH74", 45.514)</f>
        <v>45.514000000000003</v>
      </c>
      <c r="AJ114" s="42">
        <f>AH114-AG114</f>
        <v>-2.9420000000226025</v>
      </c>
      <c r="AK114" s="42">
        <f>AI114-AG114</f>
        <v>-2.9420000000000002</v>
      </c>
      <c r="AL114" s="40">
        <f>HYPERLINK("[N Only Old retention.xlsx]'Coastal N Reductions'!AZ74", 37.8204)</f>
        <v>37.820399999999999</v>
      </c>
      <c r="AM114" s="40">
        <f>HYPERLINK("[N Only New retention.xlsx]'Coastal N Reductions'!AZ74", 50.202)</f>
        <v>50.201999999999998</v>
      </c>
      <c r="AN114" s="40">
        <f>HYPERLINK("[N Only with New retention and Differentiation.xlsx]'Coastal N Reductions'!AZ74", 50.202)</f>
        <v>50.201999999999998</v>
      </c>
      <c r="AO114" s="41">
        <f>AM114-AL114</f>
        <v>12.381599999999999</v>
      </c>
      <c r="AP114" s="41">
        <f>AN114-AL114</f>
        <v>12.381599999999999</v>
      </c>
      <c r="AQ114" s="40">
        <f>HYPERLINK("[N Only Old retention.xlsx]'Coastal N Reductions'!BE74", 29.046)</f>
        <v>29.045999999999999</v>
      </c>
      <c r="AR114" s="40">
        <f>HYPERLINK("[N Only New retention.xlsx]'Coastal N Reductions'!BE74", 6.936)</f>
        <v>6.9359999999999999</v>
      </c>
      <c r="AS114" s="40">
        <f>HYPERLINK("[N Only with New retention and Differentiation.xlsx]'Coastal N Reductions'!BE74", 5.756)</f>
        <v>5.7560000000000002</v>
      </c>
      <c r="AT114" s="42">
        <f>AR114-AQ114</f>
        <v>-22.11</v>
      </c>
      <c r="AU114" s="42">
        <f>AS114-AQ114</f>
        <v>-23.29</v>
      </c>
      <c r="AV114" s="40">
        <f>HYPERLINK("[N Only Old retention.xlsx]'Coastal N Reductions'!BC74", 0.77)</f>
        <v>0.77</v>
      </c>
      <c r="AW114" s="18"/>
      <c r="AX114" s="40">
        <f>HYPERLINK("[N Only with New retention and Differentiation.xlsx]'Coastal N Reductions'!BC74", 10.28)</f>
        <v>10.28</v>
      </c>
      <c r="AY114" s="42">
        <f>AW114-AV114</f>
        <v>-0.77</v>
      </c>
      <c r="AZ114" s="41">
        <f>AX114-AV114</f>
        <v>9.51</v>
      </c>
      <c r="BA114" s="40">
        <f>HYPERLINK("[N Only Old retention.xlsx]'Coastal N Reductions'!BP74", 0.04)</f>
        <v>0.04</v>
      </c>
      <c r="BB114" s="40">
        <f>HYPERLINK("[N Only New retention.xlsx]'Coastal N Reductions'!BP74", 0.04)</f>
        <v>0.04</v>
      </c>
      <c r="BC114" s="40">
        <f>HYPERLINK("[N Only with New retention and Differentiation.xlsx]'Coastal N Reductions'!BP74", 0.17)</f>
        <v>0.17</v>
      </c>
      <c r="BD114" s="18"/>
      <c r="BE114" s="41">
        <f>BC114-BA114</f>
        <v>0.13</v>
      </c>
      <c r="BF114" s="18"/>
      <c r="BG114" s="18"/>
      <c r="BH114" s="18"/>
      <c r="BI114" s="18"/>
      <c r="BJ114" s="18"/>
    </row>
    <row r="115" spans="1:62" x14ac:dyDescent="0.55000000000000004">
      <c r="A115" s="23"/>
      <c r="B115" s="24" t="s">
        <v>131</v>
      </c>
      <c r="C115" s="44">
        <v>156734.38868531701</v>
      </c>
      <c r="D115" s="44">
        <v>154502.65761984099</v>
      </c>
      <c r="E115" s="44">
        <v>154740.55552358599</v>
      </c>
      <c r="F115" s="45">
        <f>D115-C115</f>
        <v>-2231.7310654760222</v>
      </c>
      <c r="G115" s="45">
        <f>E115-C115</f>
        <v>-1993.8331617310178</v>
      </c>
      <c r="H115" s="44">
        <v>105716.993999996</v>
      </c>
      <c r="I115" s="44">
        <v>109259.91999999899</v>
      </c>
      <c r="J115" s="44">
        <v>111886.803999999</v>
      </c>
      <c r="K115" s="45">
        <f>I115-H115</f>
        <v>3542.9260000029899</v>
      </c>
      <c r="L115" s="45">
        <f>J115-H115</f>
        <v>6169.8100000029954</v>
      </c>
      <c r="M115" s="44">
        <v>79979.385999993305</v>
      </c>
      <c r="N115" s="44">
        <v>82965.823999998407</v>
      </c>
      <c r="O115" s="44">
        <v>81114.319999998901</v>
      </c>
      <c r="P115" s="45">
        <f>N115-M115</f>
        <v>2986.4380000051024</v>
      </c>
      <c r="Q115" s="45">
        <f>O115-M115</f>
        <v>1134.9340000055963</v>
      </c>
      <c r="R115" s="44">
        <v>78738.414786636393</v>
      </c>
      <c r="S115" s="44">
        <v>78509.085888906106</v>
      </c>
      <c r="T115" s="44">
        <v>78073.793478620399</v>
      </c>
      <c r="U115" s="45">
        <f>S115-R115</f>
        <v>-229.32889773028728</v>
      </c>
      <c r="V115" s="45">
        <f>T115-R115</f>
        <v>-664.62130801599415</v>
      </c>
      <c r="W115" s="44">
        <v>21229.259605735799</v>
      </c>
      <c r="X115" s="44">
        <v>16574.693905104599</v>
      </c>
      <c r="Y115" s="44">
        <v>16828.257907436</v>
      </c>
      <c r="Z115" s="45">
        <f>X115-W115</f>
        <v>-4654.5657006311994</v>
      </c>
      <c r="AA115" s="45">
        <f>Y115-W115</f>
        <v>-4401.0016982997986</v>
      </c>
      <c r="AB115" s="25">
        <v>48649.999993002501</v>
      </c>
      <c r="AC115" s="25">
        <v>87640</v>
      </c>
      <c r="AD115" s="25">
        <v>84960</v>
      </c>
      <c r="AE115" s="45">
        <f>AC115-AB115</f>
        <v>38990.000006997499</v>
      </c>
      <c r="AF115" s="45">
        <f>AD115-AB115</f>
        <v>36310.000006997499</v>
      </c>
      <c r="AG115" s="44">
        <v>16294.8147083681</v>
      </c>
      <c r="AH115" s="44">
        <v>15504.333744028299</v>
      </c>
      <c r="AI115" s="44">
        <v>15731.2397440284</v>
      </c>
      <c r="AJ115" s="45">
        <f>AH115-AG115</f>
        <v>-790.48096433980027</v>
      </c>
      <c r="AK115" s="45">
        <f>AI115-AG115</f>
        <v>-563.57496433969936</v>
      </c>
      <c r="AL115" s="44">
        <v>25838.2385999988</v>
      </c>
      <c r="AM115" s="44">
        <v>26406.399599999098</v>
      </c>
      <c r="AN115" s="44">
        <v>26552.214599998901</v>
      </c>
      <c r="AO115" s="45">
        <f>AM115-AL115</f>
        <v>568.16100000029837</v>
      </c>
      <c r="AP115" s="45">
        <f>AN115-AL115</f>
        <v>713.97600000010061</v>
      </c>
      <c r="AQ115" s="44">
        <v>1641.4388249224501</v>
      </c>
      <c r="AR115" s="44">
        <v>2070.0211979937799</v>
      </c>
      <c r="AS115" s="44">
        <v>1874.28425692985</v>
      </c>
      <c r="AT115" s="45">
        <f>AR115-AQ115</f>
        <v>428.58237307132981</v>
      </c>
      <c r="AU115" s="45">
        <f>AS115-AQ115</f>
        <v>232.84543200739995</v>
      </c>
      <c r="AV115" s="44">
        <v>31.13</v>
      </c>
      <c r="AW115" s="44">
        <v>23.69</v>
      </c>
      <c r="AX115" s="44">
        <v>214.858</v>
      </c>
      <c r="AY115" s="45">
        <f>AW115-AV115</f>
        <v>-7.4399999999999977</v>
      </c>
      <c r="AZ115" s="45">
        <f>AX115-AV115</f>
        <v>183.72800000000001</v>
      </c>
      <c r="BA115" s="44">
        <v>0.23</v>
      </c>
      <c r="BB115" s="44">
        <v>0.59</v>
      </c>
      <c r="BC115" s="44">
        <v>0.21</v>
      </c>
      <c r="BD115" s="45">
        <f>BB115-BA115</f>
        <v>0.36</v>
      </c>
      <c r="BE115" s="45">
        <f>BC115-BA115</f>
        <v>-2.0000000000000018E-2</v>
      </c>
      <c r="BF115" s="25">
        <v>3</v>
      </c>
      <c r="BG115" s="25">
        <v>7</v>
      </c>
      <c r="BH115" s="25">
        <v>7</v>
      </c>
      <c r="BI115" s="45">
        <f>BG115-BF115</f>
        <v>4</v>
      </c>
      <c r="BJ115" s="45">
        <f>BH115-BF115</f>
        <v>4</v>
      </c>
    </row>
    <row r="117" spans="1:62" ht="18" customHeight="1" x14ac:dyDescent="0.55000000000000004">
      <c r="A117" s="62" t="s">
        <v>299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</row>
    <row r="118" spans="1:62" x14ac:dyDescent="0.55000000000000004">
      <c r="A118" s="30">
        <v>1</v>
      </c>
      <c r="B118" s="6" t="s">
        <v>154</v>
      </c>
      <c r="C118" s="40">
        <f>HYPERLINK("[N&amp;P Old retention.xlsx]'Coastal N Reductions'!BD2", 3362.558)</f>
        <v>3362.558</v>
      </c>
      <c r="D118" s="40">
        <f>HYPERLINK("[N&amp;P New retention.xlsx]'Coastal N Reductions'!BD2", 4998.582)</f>
        <v>4998.5820000000003</v>
      </c>
      <c r="E118" s="18"/>
      <c r="F118" s="41">
        <f>D118-C118</f>
        <v>1636.0240000000003</v>
      </c>
      <c r="G118" s="42">
        <f>E118-C118</f>
        <v>-3362.558</v>
      </c>
      <c r="H118" s="40">
        <f>HYPERLINK("[N&amp;P Old retention.xlsx]'Coastal N Reductions'!AV2", 785.73)</f>
        <v>785.73</v>
      </c>
      <c r="I118" s="40">
        <f>HYPERLINK("[N&amp;P New retention.xlsx]'Coastal N Reductions'!AV2", 625.154)</f>
        <v>625.154</v>
      </c>
      <c r="J118" s="40">
        <f>HYPERLINK("[N&amp;P with New retention and Differentiation.xlsx]'Coastal N Reductions'!AV2", 583.958)</f>
        <v>583.95799999999997</v>
      </c>
      <c r="K118" s="42">
        <f>I118-H118</f>
        <v>-160.57600000000002</v>
      </c>
      <c r="L118" s="42">
        <f>J118-H118</f>
        <v>-201.77200000000005</v>
      </c>
      <c r="M118" s="40">
        <f>HYPERLINK("[N&amp;P Old retention.xlsx]'Coastal N Reductions'!AX2", 518.64)</f>
        <v>518.64</v>
      </c>
      <c r="N118" s="40">
        <f>HYPERLINK("[N&amp;P New retention.xlsx]'Coastal N Reductions'!AX2", 660.28)</f>
        <v>660.28</v>
      </c>
      <c r="O118" s="40">
        <f>HYPERLINK("[N&amp;P with New retention and Differentiation.xlsx]'Coastal N Reductions'!AX2", 570.69)</f>
        <v>570.69000000000005</v>
      </c>
      <c r="P118" s="41">
        <f>N118-M118</f>
        <v>141.63999999999999</v>
      </c>
      <c r="Q118" s="41">
        <f>O118-M118</f>
        <v>52.050000000000068</v>
      </c>
      <c r="R118" s="40">
        <f>HYPERLINK("[N&amp;P Old retention.xlsx]'Coastal N Reductions'!BF2", 2810.456)</f>
        <v>2810.4560000000001</v>
      </c>
      <c r="S118" s="40">
        <f>HYPERLINK("[N&amp;P New retention.xlsx]'Coastal N Reductions'!BF2", 1383.028)</f>
        <v>1383.028</v>
      </c>
      <c r="T118" s="40">
        <f>HYPERLINK("[N&amp;P with New retention and Differentiation.xlsx]'Coastal N Reductions'!BF2", 6541.854)</f>
        <v>6541.8540000000003</v>
      </c>
      <c r="U118" s="42">
        <f>S118-R118</f>
        <v>-1427.4280000000001</v>
      </c>
      <c r="V118" s="41">
        <f>T118-R118</f>
        <v>3731.3980000000001</v>
      </c>
      <c r="W118" s="40">
        <f>HYPERLINK("[N&amp;P Old retention.xlsx]'Coastal N Reductions'!BI2", 657.288)</f>
        <v>657.28800000000001</v>
      </c>
      <c r="X118" s="40">
        <f>HYPERLINK("[N&amp;P New retention.xlsx]'Coastal N Reductions'!BI2", 663.144)</f>
        <v>663.14400000000001</v>
      </c>
      <c r="Y118" s="40">
        <f>HYPERLINK("[N&amp;P with New retention and Differentiation.xlsx]'Coastal N Reductions'!BI2", 663.314)</f>
        <v>663.31399999999996</v>
      </c>
      <c r="Z118" s="41">
        <f>X118-W118</f>
        <v>5.8559999999999945</v>
      </c>
      <c r="AA118" s="41">
        <f>Y118-W118</f>
        <v>6.0259999999999536</v>
      </c>
      <c r="AB118" s="26">
        <f>HYPERLINK("[N&amp;P Old retention.xlsx]'Coastal N Reductions'!BS2", 4289.99999999084)</f>
        <v>4289.9999999908396</v>
      </c>
      <c r="AC118" s="26">
        <f>HYPERLINK("[N&amp;P New retention.xlsx]'Coastal N Reductions'!BS2", 4289.99999999112)</f>
        <v>4289.9999999911197</v>
      </c>
      <c r="AD118" s="26">
        <f>HYPERLINK("[N&amp;P with New retention and Differentiation.xlsx]'Coastal N Reductions'!BS2", 4289.99999999112)</f>
        <v>4289.9999999911197</v>
      </c>
      <c r="AE118" s="16">
        <f>AC118-AB118</f>
        <v>2.801243681460619E-10</v>
      </c>
      <c r="AF118" s="16">
        <f>AD118-AB118</f>
        <v>2.801243681460619E-10</v>
      </c>
      <c r="AG118" s="40">
        <f>HYPERLINK("[N&amp;P Old retention.xlsx]'Coastal N Reductions'!BH2", 44.334)</f>
        <v>44.334000000000003</v>
      </c>
      <c r="AH118" s="40">
        <f>HYPERLINK("[N&amp;P New retention.xlsx]'Coastal N Reductions'!BH2", 103.828)</f>
        <v>103.828</v>
      </c>
      <c r="AI118" s="40">
        <f>HYPERLINK("[N&amp;P with New retention and Differentiation.xlsx]'Coastal N Reductions'!BH2", 96.548)</f>
        <v>96.548000000000002</v>
      </c>
      <c r="AJ118" s="41">
        <f>AH118-AG118</f>
        <v>59.494</v>
      </c>
      <c r="AK118" s="41">
        <f>AI118-AG118</f>
        <v>52.213999999999999</v>
      </c>
      <c r="AL118" s="40">
        <f>HYPERLINK("[N&amp;P Old retention.xlsx]'Coastal N Reductions'!AZ2", 714.8556)</f>
        <v>714.85559999999998</v>
      </c>
      <c r="AM118" s="40">
        <f>HYPERLINK("[N&amp;P New retention.xlsx]'Coastal N Reductions'!AZ2", 515.4954)</f>
        <v>515.49540000000002</v>
      </c>
      <c r="AN118" s="40">
        <f>HYPERLINK("[N&amp;P with New retention and Differentiation.xlsx]'Coastal N Reductions'!AZ2", 540.057)</f>
        <v>540.05700000000002</v>
      </c>
      <c r="AO118" s="42">
        <f>AM118-AL118</f>
        <v>-199.36019999999996</v>
      </c>
      <c r="AP118" s="42">
        <f>AN118-AL118</f>
        <v>-174.79859999999996</v>
      </c>
      <c r="AQ118" s="40">
        <f>HYPERLINK("[N&amp;P Old retention.xlsx]'Coastal N Reductions'!BE2", 81.48)</f>
        <v>81.48</v>
      </c>
      <c r="AR118" s="40">
        <f>HYPERLINK("[N&amp;P New retention.xlsx]'Coastal N Reductions'!BE2", 171.098)</f>
        <v>171.09800000000001</v>
      </c>
      <c r="AS118" s="40">
        <f>HYPERLINK("[N&amp;P with New retention and Differentiation.xlsx]'Coastal N Reductions'!BE2", 155.836)</f>
        <v>155.83600000000001</v>
      </c>
      <c r="AT118" s="41">
        <f>AR118-AQ118</f>
        <v>89.618000000000009</v>
      </c>
      <c r="AU118" s="41">
        <f>AS118-AQ118</f>
        <v>74.356000000000009</v>
      </c>
      <c r="AV118" s="40">
        <f>HYPERLINK("[N&amp;P Old retention.xlsx]'Coastal N Reductions'!BC2", 0.004)</f>
        <v>4.0000000000000001E-3</v>
      </c>
      <c r="AW118" s="18"/>
      <c r="AX118" s="18"/>
      <c r="AY118" s="42">
        <f>AW118-AV118</f>
        <v>-4.0000000000000001E-3</v>
      </c>
      <c r="AZ118" s="42">
        <f>AX118-AV118</f>
        <v>-4.0000000000000001E-3</v>
      </c>
      <c r="BA118" s="40">
        <f>HYPERLINK("[N&amp;P Old retention.xlsx]'Coastal N Reductions'!BP2", 502.388)</f>
        <v>502.38799999999998</v>
      </c>
      <c r="BB118" s="40">
        <f>HYPERLINK("[N&amp;P New retention.xlsx]'Coastal N Reductions'!BP2", 509.354)</f>
        <v>509.35399999999998</v>
      </c>
      <c r="BC118" s="40">
        <f>HYPERLINK("[N&amp;P with New retention and Differentiation.xlsx]'Coastal N Reductions'!BP2", 478.976)</f>
        <v>478.976</v>
      </c>
      <c r="BD118" s="41">
        <f>BB118-BA118</f>
        <v>6.9660000000000082</v>
      </c>
      <c r="BE118" s="42">
        <f>BC118-BA118</f>
        <v>-23.411999999999978</v>
      </c>
      <c r="BF118" s="26">
        <f>HYPERLINK("[N&amp;P Old retention.xlsx]'Coastal N Reductions'!BT2", 3)</f>
        <v>3</v>
      </c>
      <c r="BG118" s="26">
        <f>HYPERLINK("[N&amp;P New retention.xlsx]'Coastal N Reductions'!BT2", 3)</f>
        <v>3</v>
      </c>
      <c r="BH118" s="26">
        <f>HYPERLINK("[N&amp;P with New retention and Differentiation.xlsx]'Coastal N Reductions'!BT2", 3)</f>
        <v>3</v>
      </c>
      <c r="BI118" s="18"/>
      <c r="BJ118" s="18"/>
    </row>
    <row r="119" spans="1:62" x14ac:dyDescent="0.55000000000000004">
      <c r="A119" s="31">
        <v>2</v>
      </c>
      <c r="B119" s="5" t="s">
        <v>155</v>
      </c>
      <c r="C119" s="43">
        <f>HYPERLINK("[N&amp;P Old retention.xlsx]'Coastal N Reductions'!BD50", 4923.05)</f>
        <v>4923.05</v>
      </c>
      <c r="D119" s="43">
        <f>HYPERLINK("[N&amp;P New retention.xlsx]'Coastal N Reductions'!BD50", 5377.48)</f>
        <v>5377.48</v>
      </c>
      <c r="E119" s="13"/>
      <c r="F119" s="41">
        <f>D119-C119</f>
        <v>454.42999999999938</v>
      </c>
      <c r="G119" s="42">
        <f>E119-C119</f>
        <v>-4923.05</v>
      </c>
      <c r="H119" s="43">
        <f>HYPERLINK("[N&amp;P Old retention.xlsx]'Coastal N Reductions'!AV50", 382.264)</f>
        <v>382.26400000000001</v>
      </c>
      <c r="I119" s="43">
        <f>HYPERLINK("[N&amp;P New retention.xlsx]'Coastal N Reductions'!AV50", 413.202)</f>
        <v>413.202</v>
      </c>
      <c r="J119" s="43">
        <f>HYPERLINK("[N&amp;P with New retention and Differentiation.xlsx]'Coastal N Reductions'!AV50", 379.012)</f>
        <v>379.012</v>
      </c>
      <c r="K119" s="41">
        <f>I119-H119</f>
        <v>30.937999999999988</v>
      </c>
      <c r="L119" s="42">
        <f>J119-H119</f>
        <v>-3.2520000000000095</v>
      </c>
      <c r="M119" s="43">
        <f>HYPERLINK("[N&amp;P Old retention.xlsx]'Coastal N Reductions'!AX50", 1876.148)</f>
        <v>1876.1479999999999</v>
      </c>
      <c r="N119" s="43">
        <f>HYPERLINK("[N&amp;P New retention.xlsx]'Coastal N Reductions'!AX50", 1303.662)</f>
        <v>1303.662</v>
      </c>
      <c r="O119" s="43">
        <f>HYPERLINK("[N&amp;P with New retention and Differentiation.xlsx]'Coastal N Reductions'!AX50", 1268.752)</f>
        <v>1268.752</v>
      </c>
      <c r="P119" s="42">
        <f>N119-M119</f>
        <v>-572.48599999999988</v>
      </c>
      <c r="Q119" s="42">
        <f>O119-M119</f>
        <v>-607.39599999999996</v>
      </c>
      <c r="R119" s="43">
        <f>HYPERLINK("[N&amp;P Old retention.xlsx]'Coastal N Reductions'!BF50", 1323.482)</f>
        <v>1323.482</v>
      </c>
      <c r="S119" s="43">
        <f>HYPERLINK("[N&amp;P New retention.xlsx]'Coastal N Reductions'!BF50", 843.072)</f>
        <v>843.072</v>
      </c>
      <c r="T119" s="43">
        <f>HYPERLINK("[N&amp;P with New retention and Differentiation.xlsx]'Coastal N Reductions'!BF50", 6237.75)</f>
        <v>6237.75</v>
      </c>
      <c r="U119" s="42">
        <f>S119-R119</f>
        <v>-480.40999999999997</v>
      </c>
      <c r="V119" s="41">
        <f>T119-R119</f>
        <v>4914.268</v>
      </c>
      <c r="W119" s="43">
        <f>HYPERLINK("[N&amp;P Old retention.xlsx]'Coastal N Reductions'!BI50", 292.22)</f>
        <v>292.22000000000003</v>
      </c>
      <c r="X119" s="43">
        <f>HYPERLINK("[N&amp;P New retention.xlsx]'Coastal N Reductions'!BI50", 290.382)</f>
        <v>290.38200000000001</v>
      </c>
      <c r="Y119" s="43">
        <f>HYPERLINK("[N&amp;P with New retention and Differentiation.xlsx]'Coastal N Reductions'!BI50", 290.182)</f>
        <v>290.18200000000002</v>
      </c>
      <c r="Z119" s="42">
        <f>X119-W119</f>
        <v>-1.8380000000000223</v>
      </c>
      <c r="AA119" s="42">
        <f>Y119-W119</f>
        <v>-2.0380000000000109</v>
      </c>
      <c r="AB119" s="28">
        <f>HYPERLINK("[N&amp;P Old retention.xlsx]'Coastal N Reductions'!BS50", 10419.9999999902)</f>
        <v>10419.999999990199</v>
      </c>
      <c r="AC119" s="28">
        <f>HYPERLINK("[N&amp;P New retention.xlsx]'Coastal N Reductions'!BS50", 10339.9999999902)</f>
        <v>10339.999999990199</v>
      </c>
      <c r="AD119" s="28">
        <f>HYPERLINK("[N&amp;P with New retention and Differentiation.xlsx]'Coastal N Reductions'!BS50", 10349.9999999902)</f>
        <v>10349.999999990199</v>
      </c>
      <c r="AE119" s="21">
        <f>AC119-AB119</f>
        <v>-80</v>
      </c>
      <c r="AF119" s="21">
        <f>AD119-AB119</f>
        <v>-70</v>
      </c>
      <c r="AG119" s="43">
        <f>HYPERLINK("[N&amp;P Old retention.xlsx]'Coastal N Reductions'!BH50", 9.108)</f>
        <v>9.1080000000000005</v>
      </c>
      <c r="AH119" s="43">
        <f>HYPERLINK("[N&amp;P New retention.xlsx]'Coastal N Reductions'!BH50", 12.452)</f>
        <v>12.452</v>
      </c>
      <c r="AI119" s="43">
        <f>HYPERLINK("[N&amp;P with New retention and Differentiation.xlsx]'Coastal N Reductions'!BH50", 11.128)</f>
        <v>11.128</v>
      </c>
      <c r="AJ119" s="41">
        <f>AH119-AG119</f>
        <v>3.3439999999999994</v>
      </c>
      <c r="AK119" s="41">
        <f>AI119-AG119</f>
        <v>2.0199999999999996</v>
      </c>
      <c r="AL119" s="43">
        <f>HYPERLINK("[N&amp;P Old retention.xlsx]'Coastal N Reductions'!AZ50", 598.1034)</f>
        <v>598.10339999999997</v>
      </c>
      <c r="AM119" s="43">
        <f>HYPERLINK("[N&amp;P New retention.xlsx]'Coastal N Reductions'!AZ50", 673.7748)</f>
        <v>673.77480000000003</v>
      </c>
      <c r="AN119" s="43">
        <f>HYPERLINK("[N&amp;P with New retention and Differentiation.xlsx]'Coastal N Reductions'!AZ50", 684.5568)</f>
        <v>684.55679999999995</v>
      </c>
      <c r="AO119" s="41">
        <f>AM119-AL119</f>
        <v>75.671400000000062</v>
      </c>
      <c r="AP119" s="41">
        <f>AN119-AL119</f>
        <v>86.453399999999988</v>
      </c>
      <c r="AQ119" s="43">
        <f>HYPERLINK("[N&amp;P Old retention.xlsx]'Coastal N Reductions'!BE50", 83.936)</f>
        <v>83.936000000000007</v>
      </c>
      <c r="AR119" s="43">
        <f>HYPERLINK("[N&amp;P New retention.xlsx]'Coastal N Reductions'!BE50", 41.756)</f>
        <v>41.756</v>
      </c>
      <c r="AS119" s="43">
        <f>HYPERLINK("[N&amp;P with New retention and Differentiation.xlsx]'Coastal N Reductions'!BE50", 39.956)</f>
        <v>39.956000000000003</v>
      </c>
      <c r="AT119" s="42">
        <f>AR119-AQ119</f>
        <v>-42.180000000000007</v>
      </c>
      <c r="AU119" s="42">
        <f>AS119-AQ119</f>
        <v>-43.980000000000004</v>
      </c>
      <c r="AV119" s="13"/>
      <c r="AW119" s="13"/>
      <c r="AX119" s="13"/>
      <c r="AY119" s="13"/>
      <c r="AZ119" s="13"/>
      <c r="BA119" s="43">
        <f>HYPERLINK("[N&amp;P Old retention.xlsx]'Coastal N Reductions'!BP50", 30.32)</f>
        <v>30.32</v>
      </c>
      <c r="BB119" s="43">
        <f>HYPERLINK("[N&amp;P New retention.xlsx]'Coastal N Reductions'!BP50", 59.286)</f>
        <v>59.286000000000001</v>
      </c>
      <c r="BC119" s="43">
        <f>HYPERLINK("[N&amp;P with New retention and Differentiation.xlsx]'Coastal N Reductions'!BP50", 41.244)</f>
        <v>41.244</v>
      </c>
      <c r="BD119" s="41">
        <f>BB119-BA119</f>
        <v>28.966000000000001</v>
      </c>
      <c r="BE119" s="41">
        <f>BC119-BA119</f>
        <v>10.923999999999999</v>
      </c>
      <c r="BF119" s="28">
        <f>HYPERLINK("[N&amp;P Old retention.xlsx]'Coastal N Reductions'!BT50", 4)</f>
        <v>4</v>
      </c>
      <c r="BG119" s="28">
        <f>HYPERLINK("[N&amp;P New retention.xlsx]'Coastal N Reductions'!BT50", 4)</f>
        <v>4</v>
      </c>
      <c r="BH119" s="28">
        <f>HYPERLINK("[N&amp;P with New retention and Differentiation.xlsx]'Coastal N Reductions'!BT50", 4)</f>
        <v>4</v>
      </c>
      <c r="BI119" s="13"/>
      <c r="BJ119" s="13"/>
    </row>
    <row r="120" spans="1:62" x14ac:dyDescent="0.55000000000000004">
      <c r="A120" s="30">
        <v>6</v>
      </c>
      <c r="B120" s="6" t="s">
        <v>156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40">
        <f>HYPERLINK("[N&amp;P Old retention.xlsx]'Coastal N Reductions'!BF93", 431.174)</f>
        <v>431.17399999999998</v>
      </c>
      <c r="S120" s="40">
        <f>HYPERLINK("[N&amp;P New retention.xlsx]'Coastal N Reductions'!BF93", 431.174)</f>
        <v>431.17399999999998</v>
      </c>
      <c r="T120" s="40">
        <f>HYPERLINK("[N&amp;P with New retention and Differentiation.xlsx]'Coastal N Reductions'!BF93", 431.174)</f>
        <v>431.17399999999998</v>
      </c>
      <c r="U120" s="18"/>
      <c r="V120" s="18"/>
      <c r="W120" s="18"/>
      <c r="X120" s="18"/>
      <c r="Y120" s="18"/>
      <c r="Z120" s="18"/>
      <c r="AA120" s="18"/>
      <c r="AB120" s="26">
        <f>HYPERLINK("[N&amp;P Old retention.xlsx]'Coastal N Reductions'!BS93", 499.999999999973)</f>
        <v>499.999999999973</v>
      </c>
      <c r="AC120" s="26">
        <f>HYPERLINK("[N&amp;P New retention.xlsx]'Coastal N Reductions'!BS93", 499.999999999973)</f>
        <v>499.999999999973</v>
      </c>
      <c r="AD120" s="26">
        <f>HYPERLINK("[N&amp;P with New retention and Differentiation.xlsx]'Coastal N Reductions'!BS93", 499.999999999973)</f>
        <v>499.999999999973</v>
      </c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40">
        <f>HYPERLINK("[N&amp;P Old retention.xlsx]'Coastal N Reductions'!BE93", 0.2)</f>
        <v>0.2</v>
      </c>
      <c r="AR120" s="40">
        <f>HYPERLINK("[N&amp;P New retention.xlsx]'Coastal N Reductions'!BE93", 0.2)</f>
        <v>0.2</v>
      </c>
      <c r="AS120" s="40">
        <f>HYPERLINK("[N&amp;P with New retention and Differentiation.xlsx]'Coastal N Reductions'!BE93", 0.2)</f>
        <v>0.2</v>
      </c>
      <c r="AT120" s="18"/>
      <c r="AU120" s="18"/>
      <c r="AV120" s="18"/>
      <c r="AW120" s="18"/>
      <c r="AX120" s="18"/>
      <c r="AY120" s="18"/>
      <c r="AZ120" s="18"/>
      <c r="BA120" s="40">
        <f>HYPERLINK("[N&amp;P Old retention.xlsx]'Coastal N Reductions'!BP93", 43.4)</f>
        <v>43.4</v>
      </c>
      <c r="BB120" s="40">
        <f>HYPERLINK("[N&amp;P New retention.xlsx]'Coastal N Reductions'!BP93", 43.4)</f>
        <v>43.4</v>
      </c>
      <c r="BC120" s="40">
        <f>HYPERLINK("[N&amp;P with New retention and Differentiation.xlsx]'Coastal N Reductions'!BP93", 43.4)</f>
        <v>43.4</v>
      </c>
      <c r="BD120" s="18"/>
      <c r="BE120" s="18"/>
      <c r="BF120" s="18"/>
      <c r="BG120" s="18"/>
      <c r="BH120" s="18"/>
      <c r="BI120" s="18"/>
      <c r="BJ120" s="18"/>
    </row>
    <row r="121" spans="1:62" x14ac:dyDescent="0.55000000000000004">
      <c r="A121" s="31">
        <v>16</v>
      </c>
      <c r="B121" s="5" t="s">
        <v>157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43">
        <f>HYPERLINK("[N&amp;P New retention.xlsx]'Coastal N Reductions'!AX45", 1.59)</f>
        <v>1.59</v>
      </c>
      <c r="O121" s="13"/>
      <c r="P121" s="41">
        <f>N121-M121</f>
        <v>1.59</v>
      </c>
      <c r="Q121" s="13"/>
      <c r="R121" s="43">
        <f>HYPERLINK("[N&amp;P Old retention.xlsx]'Coastal N Reductions'!BF45", 12.22)</f>
        <v>12.22</v>
      </c>
      <c r="S121" s="43">
        <f>HYPERLINK("[N&amp;P New retention.xlsx]'Coastal N Reductions'!BF45", 12.22)</f>
        <v>12.22</v>
      </c>
      <c r="T121" s="43">
        <f>HYPERLINK("[N&amp;P with New retention and Differentiation.xlsx]'Coastal N Reductions'!BF45", 12.22)</f>
        <v>12.22</v>
      </c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43">
        <f>HYPERLINK("[N&amp;P Old retention.xlsx]'Coastal N Reductions'!AZ45", 0.783)</f>
        <v>0.78300000000000003</v>
      </c>
      <c r="AM121" s="13"/>
      <c r="AN121" s="13"/>
      <c r="AO121" s="42">
        <f>AM121-AL121</f>
        <v>-0.78300000000000003</v>
      </c>
      <c r="AP121" s="42">
        <f>AN121-AL121</f>
        <v>-0.78300000000000003</v>
      </c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</row>
    <row r="122" spans="1:62" x14ac:dyDescent="0.55000000000000004">
      <c r="A122" s="30">
        <v>17</v>
      </c>
      <c r="B122" s="6" t="s">
        <v>158</v>
      </c>
      <c r="C122" s="18"/>
      <c r="D122" s="18"/>
      <c r="E122" s="18"/>
      <c r="F122" s="18"/>
      <c r="G122" s="18"/>
      <c r="H122" s="40">
        <f>HYPERLINK("[N&amp;P Old retention.xlsx]'Coastal N Reductions'!AV48", 143.256)</f>
        <v>143.256</v>
      </c>
      <c r="I122" s="40">
        <f>HYPERLINK("[N&amp;P New retention.xlsx]'Coastal N Reductions'!AV48", 139.044)</f>
        <v>139.04400000000001</v>
      </c>
      <c r="J122" s="40">
        <f>HYPERLINK("[N&amp;P with New retention and Differentiation.xlsx]'Coastal N Reductions'!AV48", 150.41)</f>
        <v>150.41</v>
      </c>
      <c r="K122" s="42">
        <f>I122-H122</f>
        <v>-4.2119999999999891</v>
      </c>
      <c r="L122" s="41">
        <f>J122-H122</f>
        <v>7.1539999999999964</v>
      </c>
      <c r="M122" s="40">
        <f>HYPERLINK("[N&amp;P Old retention.xlsx]'Coastal N Reductions'!AX48", 472.83)</f>
        <v>472.83</v>
      </c>
      <c r="N122" s="40">
        <f>HYPERLINK("[N&amp;P New retention.xlsx]'Coastal N Reductions'!AX48", 584.096)</f>
        <v>584.096</v>
      </c>
      <c r="O122" s="40">
        <f>HYPERLINK("[N&amp;P with New retention and Differentiation.xlsx]'Coastal N Reductions'!AX48", 572.84)</f>
        <v>572.84</v>
      </c>
      <c r="P122" s="41">
        <f>N122-M122</f>
        <v>111.26600000000002</v>
      </c>
      <c r="Q122" s="41">
        <f>O122-M122</f>
        <v>100.01000000000005</v>
      </c>
      <c r="R122" s="40">
        <f>HYPERLINK("[N&amp;P Old retention.xlsx]'Coastal N Reductions'!BF48", 39.12)</f>
        <v>39.119999999999997</v>
      </c>
      <c r="S122" s="40">
        <f>HYPERLINK("[N&amp;P New retention.xlsx]'Coastal N Reductions'!BF48", 39.12)</f>
        <v>39.119999999999997</v>
      </c>
      <c r="T122" s="40">
        <f>HYPERLINK("[N&amp;P with New retention and Differentiation.xlsx]'Coastal N Reductions'!BF48", 39.12)</f>
        <v>39.119999999999997</v>
      </c>
      <c r="U122" s="18"/>
      <c r="V122" s="18"/>
      <c r="W122" s="40">
        <f>HYPERLINK("[N&amp;P Old retention.xlsx]'Coastal N Reductions'!BI48", 104.936)</f>
        <v>104.93600000000001</v>
      </c>
      <c r="X122" s="40">
        <f>HYPERLINK("[N&amp;P New retention.xlsx]'Coastal N Reductions'!BI48", 106.746)</f>
        <v>106.746</v>
      </c>
      <c r="Y122" s="40">
        <f>HYPERLINK("[N&amp;P with New retention and Differentiation.xlsx]'Coastal N Reductions'!BI48", 106.746)</f>
        <v>106.746</v>
      </c>
      <c r="Z122" s="41">
        <f>X122-W122</f>
        <v>1.8099999999999881</v>
      </c>
      <c r="AA122" s="41">
        <f>Y122-W122</f>
        <v>1.8099999999999881</v>
      </c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40">
        <f>HYPERLINK("[N&amp;P Old retention.xlsx]'Coastal N Reductions'!AZ48", 287.9058)</f>
        <v>287.9058</v>
      </c>
      <c r="AM122" s="40">
        <f>HYPERLINK("[N&amp;P New retention.xlsx]'Coastal N Reductions'!AZ48", 245.3754)</f>
        <v>245.37540000000001</v>
      </c>
      <c r="AN122" s="40">
        <f>HYPERLINK("[N&amp;P with New retention and Differentiation.xlsx]'Coastal N Reductions'!AZ48", 253.29)</f>
        <v>253.29</v>
      </c>
      <c r="AO122" s="42">
        <f>AM122-AL122</f>
        <v>-42.530399999999986</v>
      </c>
      <c r="AP122" s="42">
        <f>AN122-AL122</f>
        <v>-34.615800000000007</v>
      </c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</row>
    <row r="123" spans="1:62" x14ac:dyDescent="0.55000000000000004">
      <c r="A123" s="31">
        <v>18</v>
      </c>
      <c r="B123" s="5" t="s">
        <v>159</v>
      </c>
      <c r="C123" s="13"/>
      <c r="D123" s="13"/>
      <c r="E123" s="13"/>
      <c r="F123" s="13"/>
      <c r="G123" s="13"/>
      <c r="H123" s="43">
        <f>HYPERLINK("[N&amp;P Old retention.xlsx]'Coastal N Reductions'!AV49", 7.156)</f>
        <v>7.1559999999999997</v>
      </c>
      <c r="I123" s="43">
        <f>HYPERLINK("[N&amp;P New retention.xlsx]'Coastal N Reductions'!AV49", 24.502)</f>
        <v>24.501999999999999</v>
      </c>
      <c r="J123" s="43">
        <f>HYPERLINK("[N&amp;P with New retention and Differentiation.xlsx]'Coastal N Reductions'!AV49", 23.604)</f>
        <v>23.603999999999999</v>
      </c>
      <c r="K123" s="41">
        <f>I123-H123</f>
        <v>17.346</v>
      </c>
      <c r="L123" s="41">
        <f>J123-H123</f>
        <v>16.448</v>
      </c>
      <c r="M123" s="43">
        <f>HYPERLINK("[N&amp;P Old retention.xlsx]'Coastal N Reductions'!AX49", 54.9)</f>
        <v>54.9</v>
      </c>
      <c r="N123" s="43">
        <f>HYPERLINK("[N&amp;P New retention.xlsx]'Coastal N Reductions'!AX49", 63.74)</f>
        <v>63.74</v>
      </c>
      <c r="O123" s="43">
        <f>HYPERLINK("[N&amp;P with New retention and Differentiation.xlsx]'Coastal N Reductions'!AX49", 67.22)</f>
        <v>67.22</v>
      </c>
      <c r="P123" s="41">
        <f>N123-M123</f>
        <v>8.8400000000000034</v>
      </c>
      <c r="Q123" s="41">
        <f>O123-M123</f>
        <v>12.32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43">
        <f>HYPERLINK("[N&amp;P Old retention.xlsx]'Coastal N Reductions'!AZ49", 61.8498)</f>
        <v>61.849800000000002</v>
      </c>
      <c r="AM123" s="43">
        <f>HYPERLINK("[N&amp;P New retention.xlsx]'Coastal N Reductions'!AZ49", 34.0896)</f>
        <v>34.089599999999997</v>
      </c>
      <c r="AN123" s="43">
        <f>HYPERLINK("[N&amp;P with New retention and Differentiation.xlsx]'Coastal N Reductions'!AZ49", 28.9746)</f>
        <v>28.974599999999999</v>
      </c>
      <c r="AO123" s="42">
        <f>AM123-AL123</f>
        <v>-27.760200000000005</v>
      </c>
      <c r="AP123" s="42">
        <f>AN123-AL123</f>
        <v>-32.875200000000007</v>
      </c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</row>
    <row r="124" spans="1:62" x14ac:dyDescent="0.55000000000000004">
      <c r="A124" s="30">
        <v>24</v>
      </c>
      <c r="B124" s="6" t="s">
        <v>160</v>
      </c>
      <c r="C124" s="40">
        <f>HYPERLINK("[N&amp;P Old retention.xlsx]'Coastal N Reductions'!BD75", 877.28)</f>
        <v>877.28</v>
      </c>
      <c r="D124" s="40">
        <f>HYPERLINK("[N&amp;P New retention.xlsx]'Coastal N Reductions'!BD75", 1009.762)</f>
        <v>1009.7619999999999</v>
      </c>
      <c r="E124" s="18"/>
      <c r="F124" s="41">
        <f>D124-C124</f>
        <v>132.48199999999997</v>
      </c>
      <c r="G124" s="42">
        <f>E124-C124</f>
        <v>-877.28</v>
      </c>
      <c r="H124" s="40">
        <f>HYPERLINK("[N&amp;P Old retention.xlsx]'Coastal N Reductions'!AV75", 519.626)</f>
        <v>519.62599999999998</v>
      </c>
      <c r="I124" s="40">
        <f>HYPERLINK("[N&amp;P New retention.xlsx]'Coastal N Reductions'!AV75", 470.842)</f>
        <v>470.84199999999998</v>
      </c>
      <c r="J124" s="40">
        <f>HYPERLINK("[N&amp;P with New retention and Differentiation.xlsx]'Coastal N Reductions'!AV75", 469.81)</f>
        <v>469.81</v>
      </c>
      <c r="K124" s="42">
        <f>I124-H124</f>
        <v>-48.783999999999992</v>
      </c>
      <c r="L124" s="42">
        <f>J124-H124</f>
        <v>-49.815999999999974</v>
      </c>
      <c r="M124" s="40">
        <f>HYPERLINK("[N&amp;P Old retention.xlsx]'Coastal N Reductions'!AX75", 374.94)</f>
        <v>374.94</v>
      </c>
      <c r="N124" s="40">
        <f>HYPERLINK("[N&amp;P New retention.xlsx]'Coastal N Reductions'!AX75", 263.89)</f>
        <v>263.89</v>
      </c>
      <c r="O124" s="40">
        <f>HYPERLINK("[N&amp;P with New retention and Differentiation.xlsx]'Coastal N Reductions'!AX75", 180.178)</f>
        <v>180.178</v>
      </c>
      <c r="P124" s="42">
        <f>N124-M124</f>
        <v>-111.05000000000001</v>
      </c>
      <c r="Q124" s="42">
        <f>O124-M124</f>
        <v>-194.762</v>
      </c>
      <c r="R124" s="40">
        <f>HYPERLINK("[N&amp;P Old retention.xlsx]'Coastal N Reductions'!BF75", 556.38)</f>
        <v>556.38</v>
      </c>
      <c r="S124" s="40">
        <f>HYPERLINK("[N&amp;P New retention.xlsx]'Coastal N Reductions'!BF75", 528.096)</f>
        <v>528.096</v>
      </c>
      <c r="T124" s="40">
        <f>HYPERLINK("[N&amp;P with New retention and Differentiation.xlsx]'Coastal N Reductions'!BF75", 1584.858)</f>
        <v>1584.8579999999999</v>
      </c>
      <c r="U124" s="42">
        <f>S124-R124</f>
        <v>-28.283999999999992</v>
      </c>
      <c r="V124" s="41">
        <f>T124-R124</f>
        <v>1028.4780000000001</v>
      </c>
      <c r="W124" s="40">
        <f>HYPERLINK("[N&amp;P Old retention.xlsx]'Coastal N Reductions'!BI75", 128.71)</f>
        <v>128.71</v>
      </c>
      <c r="X124" s="40">
        <f>HYPERLINK("[N&amp;P New retention.xlsx]'Coastal N Reductions'!BI75", 127.67)</f>
        <v>127.67</v>
      </c>
      <c r="Y124" s="40">
        <f>HYPERLINK("[N&amp;P with New retention and Differentiation.xlsx]'Coastal N Reductions'!BI75", 127.57)</f>
        <v>127.57</v>
      </c>
      <c r="Z124" s="42">
        <f>X124-W124</f>
        <v>-1.0400000000000063</v>
      </c>
      <c r="AA124" s="42">
        <f>Y124-W124</f>
        <v>-1.1400000000000148</v>
      </c>
      <c r="AB124" s="26">
        <f>HYPERLINK("[N&amp;P Old retention.xlsx]'Coastal N Reductions'!BS75", 800)</f>
        <v>800</v>
      </c>
      <c r="AC124" s="18"/>
      <c r="AD124" s="18"/>
      <c r="AE124" s="21">
        <f>AC124-AB124</f>
        <v>-800</v>
      </c>
      <c r="AF124" s="21">
        <f>AD124-AB124</f>
        <v>-800</v>
      </c>
      <c r="AG124" s="40">
        <f>HYPERLINK("[N&amp;P Old retention.xlsx]'Coastal N Reductions'!BH75", 12.52)</f>
        <v>12.52</v>
      </c>
      <c r="AH124" s="40">
        <f>HYPERLINK("[N&amp;P New retention.xlsx]'Coastal N Reductions'!BH75", 5.29)</f>
        <v>5.29</v>
      </c>
      <c r="AI124" s="40">
        <f>HYPERLINK("[N&amp;P with New retention and Differentiation.xlsx]'Coastal N Reductions'!BH75", 5.29)</f>
        <v>5.29</v>
      </c>
      <c r="AJ124" s="42">
        <f>AH124-AG124</f>
        <v>-7.2299999999999995</v>
      </c>
      <c r="AK124" s="42">
        <f>AI124-AG124</f>
        <v>-7.2299999999999995</v>
      </c>
      <c r="AL124" s="40">
        <f>HYPERLINK("[N&amp;P Old retention.xlsx]'Coastal N Reductions'!AZ75", 118.9374)</f>
        <v>118.9374</v>
      </c>
      <c r="AM124" s="40">
        <f>HYPERLINK("[N&amp;P New retention.xlsx]'Coastal N Reductions'!AZ75", 141.3864)</f>
        <v>141.38640000000001</v>
      </c>
      <c r="AN124" s="40">
        <f>HYPERLINK("[N&amp;P with New retention and Differentiation.xlsx]'Coastal N Reductions'!AZ75", 147.7152)</f>
        <v>147.71520000000001</v>
      </c>
      <c r="AO124" s="41">
        <f>AM124-AL124</f>
        <v>22.449000000000012</v>
      </c>
      <c r="AP124" s="41">
        <f>AN124-AL124</f>
        <v>28.777800000000013</v>
      </c>
      <c r="AQ124" s="40">
        <f>HYPERLINK("[N&amp;P Old retention.xlsx]'Coastal N Reductions'!BE75", 13.514)</f>
        <v>13.513999999999999</v>
      </c>
      <c r="AR124" s="40">
        <f>HYPERLINK("[N&amp;P New retention.xlsx]'Coastal N Reductions'!BE75", 12.036)</f>
        <v>12.036</v>
      </c>
      <c r="AS124" s="40">
        <f>HYPERLINK("[N&amp;P with New retention and Differentiation.xlsx]'Coastal N Reductions'!BE75", 12.826)</f>
        <v>12.826000000000001</v>
      </c>
      <c r="AT124" s="42">
        <f>AR124-AQ124</f>
        <v>-1.4779999999999998</v>
      </c>
      <c r="AU124" s="42">
        <f>AS124-AQ124</f>
        <v>-0.68799999999999883</v>
      </c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</row>
    <row r="125" spans="1:62" x14ac:dyDescent="0.55000000000000004">
      <c r="A125" s="31">
        <v>25</v>
      </c>
      <c r="B125" s="5" t="s">
        <v>161</v>
      </c>
      <c r="C125" s="13"/>
      <c r="D125" s="13"/>
      <c r="E125" s="13"/>
      <c r="F125" s="13"/>
      <c r="G125" s="13"/>
      <c r="H125" s="43">
        <f>HYPERLINK("[N&amp;P Old retention.xlsx]'Coastal N Reductions'!AV76", 16.92)</f>
        <v>16.920000000000002</v>
      </c>
      <c r="I125" s="43">
        <f>HYPERLINK("[N&amp;P New retention.xlsx]'Coastal N Reductions'!AV76", 3.996)</f>
        <v>3.996</v>
      </c>
      <c r="J125" s="43">
        <f>HYPERLINK("[N&amp;P with New retention and Differentiation.xlsx]'Coastal N Reductions'!AV76", 9.754)</f>
        <v>9.7539999999999996</v>
      </c>
      <c r="K125" s="42">
        <f>I125-H125</f>
        <v>-12.924000000000001</v>
      </c>
      <c r="L125" s="42">
        <f>J125-H125</f>
        <v>-7.1660000000000021</v>
      </c>
      <c r="M125" s="43">
        <f>HYPERLINK("[N&amp;P Old retention.xlsx]'Coastal N Reductions'!AX76", 62.578)</f>
        <v>62.578000000000003</v>
      </c>
      <c r="N125" s="43">
        <f>HYPERLINK("[N&amp;P New retention.xlsx]'Coastal N Reductions'!AX76", 52.858)</f>
        <v>52.857999999999997</v>
      </c>
      <c r="O125" s="43">
        <f>HYPERLINK("[N&amp;P with New retention and Differentiation.xlsx]'Coastal N Reductions'!AX76", 52.858)</f>
        <v>52.857999999999997</v>
      </c>
      <c r="P125" s="42">
        <f>N125-M125</f>
        <v>-9.720000000000006</v>
      </c>
      <c r="Q125" s="42">
        <f>O125-M125</f>
        <v>-9.720000000000006</v>
      </c>
      <c r="R125" s="43">
        <f>HYPERLINK("[N&amp;P Old retention.xlsx]'Coastal N Reductions'!BF76", 32.41)</f>
        <v>32.409999999999997</v>
      </c>
      <c r="S125" s="43">
        <f>HYPERLINK("[N&amp;P New retention.xlsx]'Coastal N Reductions'!BF76", 32.41)</f>
        <v>32.409999999999997</v>
      </c>
      <c r="T125" s="43">
        <f>HYPERLINK("[N&amp;P with New retention and Differentiation.xlsx]'Coastal N Reductions'!BF76", 32.41)</f>
        <v>32.409999999999997</v>
      </c>
      <c r="U125" s="13"/>
      <c r="V125" s="13"/>
      <c r="W125" s="43">
        <f>HYPERLINK("[N&amp;P Old retention.xlsx]'Coastal N Reductions'!BI76", 15.44)</f>
        <v>15.44</v>
      </c>
      <c r="X125" s="43">
        <f>HYPERLINK("[N&amp;P New retention.xlsx]'Coastal N Reductions'!BI76", 21.34)</f>
        <v>21.34</v>
      </c>
      <c r="Y125" s="43">
        <f>HYPERLINK("[N&amp;P with New retention and Differentiation.xlsx]'Coastal N Reductions'!BI76", 21.2)</f>
        <v>21.2</v>
      </c>
      <c r="Z125" s="41">
        <f>X125-W125</f>
        <v>5.9</v>
      </c>
      <c r="AA125" s="41">
        <f>Y125-W125</f>
        <v>5.76</v>
      </c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43">
        <f>HYPERLINK("[N&amp;P Old retention.xlsx]'Coastal N Reductions'!AZ76", 111.5316)</f>
        <v>111.5316</v>
      </c>
      <c r="AM125" s="43">
        <f>HYPERLINK("[N&amp;P New retention.xlsx]'Coastal N Reductions'!AZ76", 92.3586)</f>
        <v>92.358599999999996</v>
      </c>
      <c r="AN125" s="43">
        <f>HYPERLINK("[N&amp;P with New retention and Differentiation.xlsx]'Coastal N Reductions'!AZ76", 79.4058)</f>
        <v>79.405799999999999</v>
      </c>
      <c r="AO125" s="42">
        <f>AM125-AL125</f>
        <v>-19.173000000000002</v>
      </c>
      <c r="AP125" s="42">
        <f>AN125-AL125</f>
        <v>-32.125799999999998</v>
      </c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</row>
    <row r="126" spans="1:62" x14ac:dyDescent="0.55000000000000004">
      <c r="A126" s="30">
        <v>28</v>
      </c>
      <c r="B126" s="6" t="s">
        <v>162</v>
      </c>
      <c r="C126" s="18"/>
      <c r="D126" s="18"/>
      <c r="E126" s="18"/>
      <c r="F126" s="18"/>
      <c r="G126" s="18"/>
      <c r="H126" s="40">
        <f>HYPERLINK("[N&amp;P Old retention.xlsx]'Coastal N Reductions'!AV77", 495.312)</f>
        <v>495.31200000000001</v>
      </c>
      <c r="I126" s="40">
        <f>HYPERLINK("[N&amp;P New retention.xlsx]'Coastal N Reductions'!AV77", 277.376)</f>
        <v>277.37599999999998</v>
      </c>
      <c r="J126" s="40">
        <f>HYPERLINK("[N&amp;P with New retention and Differentiation.xlsx]'Coastal N Reductions'!AV77", 277.376)</f>
        <v>277.37599999999998</v>
      </c>
      <c r="K126" s="42">
        <f>I126-H126</f>
        <v>-217.93600000000004</v>
      </c>
      <c r="L126" s="42">
        <f>J126-H126</f>
        <v>-217.93600000000004</v>
      </c>
      <c r="M126" s="40">
        <f>HYPERLINK("[N&amp;P Old retention.xlsx]'Coastal N Reductions'!AX77", 126.47)</f>
        <v>126.47</v>
      </c>
      <c r="N126" s="40">
        <f>HYPERLINK("[N&amp;P New retention.xlsx]'Coastal N Reductions'!AX77", 72.954)</f>
        <v>72.953999999999994</v>
      </c>
      <c r="O126" s="40">
        <f>HYPERLINK("[N&amp;P with New retention and Differentiation.xlsx]'Coastal N Reductions'!AX77", 72.954)</f>
        <v>72.953999999999994</v>
      </c>
      <c r="P126" s="42">
        <f>N126-M126</f>
        <v>-53.516000000000005</v>
      </c>
      <c r="Q126" s="42">
        <f>O126-M126</f>
        <v>-53.516000000000005</v>
      </c>
      <c r="R126" s="40">
        <f>HYPERLINK("[N&amp;P Old retention.xlsx]'Coastal N Reductions'!BF77", 311.342)</f>
        <v>311.34199999999998</v>
      </c>
      <c r="S126" s="40">
        <f>HYPERLINK("[N&amp;P New retention.xlsx]'Coastal N Reductions'!BF77", 266.668)</f>
        <v>266.66800000000001</v>
      </c>
      <c r="T126" s="40">
        <f>HYPERLINK("[N&amp;P with New retention and Differentiation.xlsx]'Coastal N Reductions'!BF77", 342.032)</f>
        <v>342.03199999999998</v>
      </c>
      <c r="U126" s="42">
        <f>S126-R126</f>
        <v>-44.673999999999978</v>
      </c>
      <c r="V126" s="41">
        <f>T126-R126</f>
        <v>30.689999999999998</v>
      </c>
      <c r="W126" s="18"/>
      <c r="X126" s="40">
        <f>HYPERLINK("[N&amp;P New retention.xlsx]'Coastal N Reductions'!BI77", 46.426)</f>
        <v>46.426000000000002</v>
      </c>
      <c r="Y126" s="40">
        <f>HYPERLINK("[N&amp;P with New retention and Differentiation.xlsx]'Coastal N Reductions'!BI77", 38.402)</f>
        <v>38.402000000000001</v>
      </c>
      <c r="Z126" s="41">
        <f>X126-W126</f>
        <v>46.426000000000002</v>
      </c>
      <c r="AA126" s="41">
        <f>Y126-W126</f>
        <v>38.402000000000001</v>
      </c>
      <c r="AB126" s="26">
        <f>HYPERLINK("[N&amp;P Old retention.xlsx]'Coastal N Reductions'!BS77", 90)</f>
        <v>90</v>
      </c>
      <c r="AC126" s="26">
        <f>HYPERLINK("[N&amp;P New retention.xlsx]'Coastal N Reductions'!BS77", 90)</f>
        <v>90</v>
      </c>
      <c r="AD126" s="26">
        <f>HYPERLINK("[N&amp;P with New retention and Differentiation.xlsx]'Coastal N Reductions'!BS77", 90)</f>
        <v>90</v>
      </c>
      <c r="AE126" s="18"/>
      <c r="AF126" s="18"/>
      <c r="AG126" s="40">
        <f>HYPERLINK("[N&amp;P Old retention.xlsx]'Coastal N Reductions'!BH77", 41.62)</f>
        <v>41.62</v>
      </c>
      <c r="AH126" s="40">
        <f>HYPERLINK("[N&amp;P New retention.xlsx]'Coastal N Reductions'!BH77", 52.124)</f>
        <v>52.124000000000002</v>
      </c>
      <c r="AI126" s="40">
        <f>HYPERLINK("[N&amp;P with New retention and Differentiation.xlsx]'Coastal N Reductions'!BH77", 51.824)</f>
        <v>51.823999999999998</v>
      </c>
      <c r="AJ126" s="41">
        <f>AH126-AG126</f>
        <v>10.504000000000005</v>
      </c>
      <c r="AK126" s="41">
        <f>AI126-AG126</f>
        <v>10.204000000000001</v>
      </c>
      <c r="AL126" s="40">
        <f>HYPERLINK("[N&amp;P Old retention.xlsx]'Coastal N Reductions'!AZ77", 252.012)</f>
        <v>252.012</v>
      </c>
      <c r="AM126" s="18"/>
      <c r="AN126" s="18"/>
      <c r="AO126" s="42">
        <f>AM126-AL126</f>
        <v>-252.012</v>
      </c>
      <c r="AP126" s="42">
        <f>AN126-AL126</f>
        <v>-252.012</v>
      </c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40">
        <f>HYPERLINK("[N&amp;P Old retention.xlsx]'Coastal N Reductions'!BP77", 5.824)</f>
        <v>5.8239999999999998</v>
      </c>
      <c r="BB126" s="40">
        <f>HYPERLINK("[N&amp;P New retention.xlsx]'Coastal N Reductions'!BP77", 7.52)</f>
        <v>7.52</v>
      </c>
      <c r="BC126" s="40">
        <f>HYPERLINK("[N&amp;P with New retention and Differentiation.xlsx]'Coastal N Reductions'!BP77", 11.414)</f>
        <v>11.414</v>
      </c>
      <c r="BD126" s="41">
        <f>BB126-BA126</f>
        <v>1.6959999999999997</v>
      </c>
      <c r="BE126" s="41">
        <f>BC126-BA126</f>
        <v>5.59</v>
      </c>
      <c r="BF126" s="18"/>
      <c r="BG126" s="18"/>
      <c r="BH126" s="18"/>
      <c r="BI126" s="18"/>
      <c r="BJ126" s="18"/>
    </row>
    <row r="127" spans="1:62" x14ac:dyDescent="0.55000000000000004">
      <c r="A127" s="31">
        <v>29</v>
      </c>
      <c r="B127" s="5" t="s">
        <v>163</v>
      </c>
      <c r="C127" s="13"/>
      <c r="D127" s="13"/>
      <c r="E127" s="13"/>
      <c r="F127" s="13"/>
      <c r="G127" s="13"/>
      <c r="H127" s="43">
        <f>HYPERLINK("[N&amp;P Old retention.xlsx]'Coastal N Reductions'!AV78", 213.34)</f>
        <v>213.34</v>
      </c>
      <c r="I127" s="43">
        <f>HYPERLINK("[N&amp;P New retention.xlsx]'Coastal N Reductions'!AV78", 197.132)</f>
        <v>197.13200000000001</v>
      </c>
      <c r="J127" s="43">
        <f>HYPERLINK("[N&amp;P with New retention and Differentiation.xlsx]'Coastal N Reductions'!AV78", 194.64)</f>
        <v>194.64</v>
      </c>
      <c r="K127" s="42">
        <f>I127-H127</f>
        <v>-16.207999999999998</v>
      </c>
      <c r="L127" s="42">
        <f>J127-H127</f>
        <v>-18.700000000000017</v>
      </c>
      <c r="M127" s="43">
        <f>HYPERLINK("[N&amp;P Old retention.xlsx]'Coastal N Reductions'!AX78", 118.624)</f>
        <v>118.624</v>
      </c>
      <c r="N127" s="43">
        <f>HYPERLINK("[N&amp;P New retention.xlsx]'Coastal N Reductions'!AX78", 80.476)</f>
        <v>80.475999999999999</v>
      </c>
      <c r="O127" s="43">
        <f>HYPERLINK("[N&amp;P with New retention and Differentiation.xlsx]'Coastal N Reductions'!AX78", 80.476)</f>
        <v>80.475999999999999</v>
      </c>
      <c r="P127" s="42">
        <f>N127-M127</f>
        <v>-38.147999999999996</v>
      </c>
      <c r="Q127" s="42">
        <f>O127-M127</f>
        <v>-38.147999999999996</v>
      </c>
      <c r="R127" s="13"/>
      <c r="S127" s="43">
        <f>HYPERLINK("[N&amp;P New retention.xlsx]'Coastal N Reductions'!BF78", 7.17)</f>
        <v>7.17</v>
      </c>
      <c r="T127" s="43">
        <f>HYPERLINK("[N&amp;P with New retention and Differentiation.xlsx]'Coastal N Reductions'!BF78", 10.99)</f>
        <v>10.99</v>
      </c>
      <c r="U127" s="41">
        <f>S127-R127</f>
        <v>7.17</v>
      </c>
      <c r="V127" s="41">
        <f>T127-R127</f>
        <v>10.99</v>
      </c>
      <c r="W127" s="43">
        <f>HYPERLINK("[N&amp;P Old retention.xlsx]'Coastal N Reductions'!BI78", 12.552)</f>
        <v>12.552</v>
      </c>
      <c r="X127" s="43">
        <f>HYPERLINK("[N&amp;P New retention.xlsx]'Coastal N Reductions'!BI78", 27.58)</f>
        <v>27.58</v>
      </c>
      <c r="Y127" s="43">
        <f>HYPERLINK("[N&amp;P with New retention and Differentiation.xlsx]'Coastal N Reductions'!BI78", 27.58)</f>
        <v>27.58</v>
      </c>
      <c r="Z127" s="41">
        <f>X127-W127</f>
        <v>15.027999999999999</v>
      </c>
      <c r="AA127" s="41">
        <f>Y127-W127</f>
        <v>15.027999999999999</v>
      </c>
      <c r="AB127" s="13"/>
      <c r="AC127" s="13"/>
      <c r="AD127" s="13"/>
      <c r="AE127" s="13"/>
      <c r="AF127" s="13"/>
      <c r="AG127" s="43">
        <f>HYPERLINK("[N&amp;P Old retention.xlsx]'Coastal N Reductions'!BH78", 0.45)</f>
        <v>0.45</v>
      </c>
      <c r="AH127" s="43">
        <f>HYPERLINK("[N&amp;P New retention.xlsx]'Coastal N Reductions'!BH78", 0.0399999999999999)</f>
        <v>3.9999999999999897E-2</v>
      </c>
      <c r="AI127" s="43">
        <f>HYPERLINK("[N&amp;P with New retention and Differentiation.xlsx]'Coastal N Reductions'!BH78", 0.0399999999999999)</f>
        <v>3.9999999999999897E-2</v>
      </c>
      <c r="AJ127" s="42">
        <f>AH127-AG127</f>
        <v>-0.41000000000000014</v>
      </c>
      <c r="AK127" s="42">
        <f>AI127-AG127</f>
        <v>-0.41000000000000014</v>
      </c>
      <c r="AL127" s="43">
        <f>HYPERLINK("[N&amp;P Old retention.xlsx]'Coastal N Reductions'!AZ78", 192.5964)</f>
        <v>192.59639999999999</v>
      </c>
      <c r="AM127" s="43">
        <f>HYPERLINK("[N&amp;P New retention.xlsx]'Coastal N Reductions'!AZ78", 219.8448)</f>
        <v>219.84479999999999</v>
      </c>
      <c r="AN127" s="43">
        <f>HYPERLINK("[N&amp;P with New retention and Differentiation.xlsx]'Coastal N Reductions'!AZ78", 219.48)</f>
        <v>219.48</v>
      </c>
      <c r="AO127" s="41">
        <f>AM127-AL127</f>
        <v>27.248400000000004</v>
      </c>
      <c r="AP127" s="41">
        <f>AN127-AL127</f>
        <v>26.883600000000001</v>
      </c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</row>
    <row r="128" spans="1:62" x14ac:dyDescent="0.55000000000000004">
      <c r="A128" s="30">
        <v>34</v>
      </c>
      <c r="B128" s="6" t="s">
        <v>164</v>
      </c>
      <c r="C128" s="40">
        <f>HYPERLINK("[N&amp;P Old retention.xlsx]'Coastal N Reductions'!BD79", 16.3)</f>
        <v>16.3</v>
      </c>
      <c r="D128" s="40">
        <f>HYPERLINK("[N&amp;P New retention.xlsx]'Coastal N Reductions'!BD79", 5.18)</f>
        <v>5.18</v>
      </c>
      <c r="E128" s="40">
        <f>HYPERLINK("[N&amp;P with New retention and Differentiation.xlsx]'Coastal N Reductions'!BD79", 20.31)</f>
        <v>20.309999999999999</v>
      </c>
      <c r="F128" s="42">
        <f>D128-C128</f>
        <v>-11.120000000000001</v>
      </c>
      <c r="G128" s="41">
        <f>E128-C128</f>
        <v>4.009999999999998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40">
        <f>HYPERLINK("[N&amp;P Old retention.xlsx]'Coastal N Reductions'!BF79", 6.48)</f>
        <v>6.48</v>
      </c>
      <c r="S128" s="40">
        <f>HYPERLINK("[N&amp;P New retention.xlsx]'Coastal N Reductions'!BF79", 65.53)</f>
        <v>65.53</v>
      </c>
      <c r="T128" s="40">
        <f>HYPERLINK("[N&amp;P with New retention and Differentiation.xlsx]'Coastal N Reductions'!BF79", 16.29)</f>
        <v>16.29</v>
      </c>
      <c r="U128" s="41">
        <f>S128-R128</f>
        <v>59.05</v>
      </c>
      <c r="V128" s="41">
        <f>T128-R128</f>
        <v>9.8099999999999987</v>
      </c>
      <c r="W128" s="18"/>
      <c r="X128" s="18"/>
      <c r="Y128" s="18"/>
      <c r="Z128" s="18"/>
      <c r="AA128" s="18"/>
      <c r="AB128" s="26">
        <f>HYPERLINK("[N&amp;P Old retention.xlsx]'Coastal N Reductions'!BS79", 70)</f>
        <v>70</v>
      </c>
      <c r="AC128" s="26">
        <f>HYPERLINK("[N&amp;P New retention.xlsx]'Coastal N Reductions'!BS79", 70)</f>
        <v>70</v>
      </c>
      <c r="AD128" s="26">
        <f>HYPERLINK("[N&amp;P with New retention and Differentiation.xlsx]'Coastal N Reductions'!BS79", 70)</f>
        <v>70</v>
      </c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40">
        <f>HYPERLINK("[N&amp;P Old retention.xlsx]'Coastal N Reductions'!BP79", 57.714)</f>
        <v>57.713999999999999</v>
      </c>
      <c r="BB128" s="40">
        <f>HYPERLINK("[N&amp;P New retention.xlsx]'Coastal N Reductions'!BP79", 6.054)</f>
        <v>6.0540000000000003</v>
      </c>
      <c r="BC128" s="40">
        <f>HYPERLINK("[N&amp;P with New retention and Differentiation.xlsx]'Coastal N Reductions'!BP79", 60.204)</f>
        <v>60.204000000000001</v>
      </c>
      <c r="BD128" s="42">
        <f>BB128-BA128</f>
        <v>-51.66</v>
      </c>
      <c r="BE128" s="41">
        <f>BC128-BA128</f>
        <v>2.490000000000002</v>
      </c>
      <c r="BF128" s="18"/>
      <c r="BG128" s="18"/>
      <c r="BH128" s="18"/>
      <c r="BI128" s="18"/>
      <c r="BJ128" s="18"/>
    </row>
    <row r="129" spans="1:62" x14ac:dyDescent="0.55000000000000004">
      <c r="A129" s="31">
        <v>35</v>
      </c>
      <c r="B129" s="5" t="s">
        <v>165</v>
      </c>
      <c r="C129" s="43">
        <f>HYPERLINK("[N&amp;P Old retention.xlsx]'Coastal N Reductions'!BD80", 1029.224)</f>
        <v>1029.2239999999999</v>
      </c>
      <c r="D129" s="43">
        <f>HYPERLINK("[N&amp;P New retention.xlsx]'Coastal N Reductions'!BD80", 1133.746)</f>
        <v>1133.7460000000001</v>
      </c>
      <c r="E129" s="13"/>
      <c r="F129" s="41">
        <f>D129-C129</f>
        <v>104.52200000000016</v>
      </c>
      <c r="G129" s="42">
        <f>E129-C129</f>
        <v>-1029.2239999999999</v>
      </c>
      <c r="H129" s="43">
        <f>HYPERLINK("[N&amp;P Old retention.xlsx]'Coastal N Reductions'!AV80", 2443.876)</f>
        <v>2443.8760000000002</v>
      </c>
      <c r="I129" s="43">
        <f>HYPERLINK("[N&amp;P New retention.xlsx]'Coastal N Reductions'!AV80", 2911.888)</f>
        <v>2911.8879999999999</v>
      </c>
      <c r="J129" s="43">
        <f>HYPERLINK("[N&amp;P with New retention and Differentiation.xlsx]'Coastal N Reductions'!AV80", 2835.608)</f>
        <v>2835.6080000000002</v>
      </c>
      <c r="K129" s="41">
        <f>I129-H129</f>
        <v>468.01199999999972</v>
      </c>
      <c r="L129" s="41">
        <f>J129-H129</f>
        <v>391.73199999999997</v>
      </c>
      <c r="M129" s="43">
        <f>HYPERLINK("[N&amp;P Old retention.xlsx]'Coastal N Reductions'!AX80", 2876.728)</f>
        <v>2876.7280000000001</v>
      </c>
      <c r="N129" s="43">
        <f>HYPERLINK("[N&amp;P New retention.xlsx]'Coastal N Reductions'!AX80", 3368.324)</f>
        <v>3368.3240000000001</v>
      </c>
      <c r="O129" s="43">
        <f>HYPERLINK("[N&amp;P with New retention and Differentiation.xlsx]'Coastal N Reductions'!AX80", 3114.98)</f>
        <v>3114.98</v>
      </c>
      <c r="P129" s="41">
        <f>N129-M129</f>
        <v>491.596</v>
      </c>
      <c r="Q129" s="41">
        <f>O129-M129</f>
        <v>238.25199999999995</v>
      </c>
      <c r="R129" s="43">
        <f>HYPERLINK("[N&amp;P Old retention.xlsx]'Coastal N Reductions'!BF80", 1040.798)</f>
        <v>1040.798</v>
      </c>
      <c r="S129" s="43">
        <f>HYPERLINK("[N&amp;P New retention.xlsx]'Coastal N Reductions'!BF80", 1110.296)</f>
        <v>1110.296</v>
      </c>
      <c r="T129" s="43">
        <f>HYPERLINK("[N&amp;P with New retention and Differentiation.xlsx]'Coastal N Reductions'!BF80", 2456.682)</f>
        <v>2456.6819999999998</v>
      </c>
      <c r="U129" s="41">
        <f>S129-R129</f>
        <v>69.498000000000047</v>
      </c>
      <c r="V129" s="41">
        <f>T129-R129</f>
        <v>1415.8839999999998</v>
      </c>
      <c r="W129" s="43">
        <f>HYPERLINK("[N&amp;P Old retention.xlsx]'Coastal N Reductions'!BI80", 8.76199999999999)</f>
        <v>8.7619999999999898</v>
      </c>
      <c r="X129" s="43">
        <f>HYPERLINK("[N&amp;P New retention.xlsx]'Coastal N Reductions'!BI80", 81.952)</f>
        <v>81.951999999999998</v>
      </c>
      <c r="Y129" s="43">
        <f>HYPERLINK("[N&amp;P with New retention and Differentiation.xlsx]'Coastal N Reductions'!BI80", 80.552)</f>
        <v>80.552000000000007</v>
      </c>
      <c r="Z129" s="41">
        <f>X129-W129</f>
        <v>73.190000000000012</v>
      </c>
      <c r="AA129" s="41">
        <f>Y129-W129</f>
        <v>71.79000000000002</v>
      </c>
      <c r="AB129" s="28">
        <f>HYPERLINK("[N&amp;P Old retention.xlsx]'Coastal N Reductions'!BS80", 679.999999999958)</f>
        <v>679.99999999995805</v>
      </c>
      <c r="AC129" s="28">
        <f>HYPERLINK("[N&amp;P New retention.xlsx]'Coastal N Reductions'!BS80", 679.999999999958)</f>
        <v>679.99999999995805</v>
      </c>
      <c r="AD129" s="28">
        <f>HYPERLINK("[N&amp;P with New retention and Differentiation.xlsx]'Coastal N Reductions'!BS80", 679.999999999958)</f>
        <v>679.99999999995805</v>
      </c>
      <c r="AE129" s="21">
        <f>AC129-AB129</f>
        <v>0</v>
      </c>
      <c r="AF129" s="13"/>
      <c r="AG129" s="43">
        <f>HYPERLINK("[N&amp;P Old retention.xlsx]'Coastal N Reductions'!BH80", 40.01)</f>
        <v>40.01</v>
      </c>
      <c r="AH129" s="43">
        <f>HYPERLINK("[N&amp;P New retention.xlsx]'Coastal N Reductions'!BH80", 48.918)</f>
        <v>48.917999999999999</v>
      </c>
      <c r="AI129" s="43">
        <f>HYPERLINK("[N&amp;P with New retention and Differentiation.xlsx]'Coastal N Reductions'!BH80", 46.628)</f>
        <v>46.628</v>
      </c>
      <c r="AJ129" s="41">
        <f>AH129-AG129</f>
        <v>8.9080000000000013</v>
      </c>
      <c r="AK129" s="41">
        <f>AI129-AG129</f>
        <v>6.6180000000000021</v>
      </c>
      <c r="AL129" s="43">
        <f>HYPERLINK("[N&amp;P Old retention.xlsx]'Coastal N Reductions'!AZ80", 2346.1236)</f>
        <v>2346.1235999999999</v>
      </c>
      <c r="AM129" s="43">
        <f>HYPERLINK("[N&amp;P New retention.xlsx]'Coastal N Reductions'!AZ80", 3118.6602)</f>
        <v>3118.6601999999998</v>
      </c>
      <c r="AN129" s="43">
        <f>HYPERLINK("[N&amp;P with New retention and Differentiation.xlsx]'Coastal N Reductions'!AZ80", 3134.2284)</f>
        <v>3134.2284</v>
      </c>
      <c r="AO129" s="41">
        <f>AM129-AL129</f>
        <v>772.53659999999991</v>
      </c>
      <c r="AP129" s="41">
        <f>AN129-AL129</f>
        <v>788.10480000000007</v>
      </c>
      <c r="AQ129" s="13"/>
      <c r="AR129" s="43">
        <f>HYPERLINK("[N&amp;P New retention.xlsx]'Coastal N Reductions'!BE80", 2.174)</f>
        <v>2.1739999999999999</v>
      </c>
      <c r="AS129" s="43">
        <f>HYPERLINK("[N&amp;P with New retention and Differentiation.xlsx]'Coastal N Reductions'!BE80", 2.746)</f>
        <v>2.746</v>
      </c>
      <c r="AT129" s="41">
        <f>AR129-AQ129</f>
        <v>2.1739999999999999</v>
      </c>
      <c r="AU129" s="41">
        <f>AS129-AQ129</f>
        <v>2.746</v>
      </c>
      <c r="AV129" s="13"/>
      <c r="AW129" s="13"/>
      <c r="AX129" s="13"/>
      <c r="AY129" s="13"/>
      <c r="AZ129" s="13"/>
      <c r="BA129" s="43">
        <f>HYPERLINK("[N&amp;P Old retention.xlsx]'Coastal N Reductions'!BP80", 67.354)</f>
        <v>67.353999999999999</v>
      </c>
      <c r="BB129" s="43">
        <f>HYPERLINK("[N&amp;P New retention.xlsx]'Coastal N Reductions'!BP80", 74.472)</f>
        <v>74.471999999999994</v>
      </c>
      <c r="BC129" s="43">
        <f>HYPERLINK("[N&amp;P with New retention and Differentiation.xlsx]'Coastal N Reductions'!BP80", 64.786)</f>
        <v>64.786000000000001</v>
      </c>
      <c r="BD129" s="41">
        <f>BB129-BA129</f>
        <v>7.117999999999995</v>
      </c>
      <c r="BE129" s="42">
        <f>BC129-BA129</f>
        <v>-2.5679999999999978</v>
      </c>
      <c r="BF129" s="13"/>
      <c r="BG129" s="13"/>
      <c r="BH129" s="13"/>
      <c r="BI129" s="13"/>
      <c r="BJ129" s="13"/>
    </row>
    <row r="130" spans="1:62" x14ac:dyDescent="0.55000000000000004">
      <c r="A130" s="30">
        <v>36</v>
      </c>
      <c r="B130" s="6" t="s">
        <v>166</v>
      </c>
      <c r="C130" s="40">
        <f>HYPERLINK("[N&amp;P Old retention.xlsx]'Coastal N Reductions'!BD81", 152.476)</f>
        <v>152.476</v>
      </c>
      <c r="D130" s="40">
        <f>HYPERLINK("[N&amp;P New retention.xlsx]'Coastal N Reductions'!BD81", 162.816)</f>
        <v>162.816</v>
      </c>
      <c r="E130" s="18"/>
      <c r="F130" s="41">
        <f>D130-C130</f>
        <v>10.340000000000003</v>
      </c>
      <c r="G130" s="42">
        <f>E130-C130</f>
        <v>-152.476</v>
      </c>
      <c r="H130" s="40">
        <f>HYPERLINK("[N&amp;P Old retention.xlsx]'Coastal N Reductions'!AV81", 219.326)</f>
        <v>219.32599999999999</v>
      </c>
      <c r="I130" s="40">
        <f>HYPERLINK("[N&amp;P New retention.xlsx]'Coastal N Reductions'!AV81", 207.024)</f>
        <v>207.024</v>
      </c>
      <c r="J130" s="40">
        <f>HYPERLINK("[N&amp;P with New retention and Differentiation.xlsx]'Coastal N Reductions'!AV81", 188.024)</f>
        <v>188.024</v>
      </c>
      <c r="K130" s="42">
        <f>I130-H130</f>
        <v>-12.301999999999992</v>
      </c>
      <c r="L130" s="42">
        <f>J130-H130</f>
        <v>-31.301999999999992</v>
      </c>
      <c r="M130" s="40">
        <f>HYPERLINK("[N&amp;P Old retention.xlsx]'Coastal N Reductions'!AX81", 83.348)</f>
        <v>83.347999999999999</v>
      </c>
      <c r="N130" s="40">
        <f>HYPERLINK("[N&amp;P New retention.xlsx]'Coastal N Reductions'!AX81", 82.888)</f>
        <v>82.888000000000005</v>
      </c>
      <c r="O130" s="40">
        <f>HYPERLINK("[N&amp;P with New retention and Differentiation.xlsx]'Coastal N Reductions'!AX81", 74.278)</f>
        <v>74.278000000000006</v>
      </c>
      <c r="P130" s="42">
        <f>N130-M130</f>
        <v>-0.45999999999999375</v>
      </c>
      <c r="Q130" s="42">
        <f>O130-M130</f>
        <v>-9.0699999999999932</v>
      </c>
      <c r="R130" s="18"/>
      <c r="S130" s="18"/>
      <c r="T130" s="40">
        <f>HYPERLINK("[N&amp;P with New retention and Differentiation.xlsx]'Coastal N Reductions'!BF81", 169.556)</f>
        <v>169.55600000000001</v>
      </c>
      <c r="U130" s="18"/>
      <c r="V130" s="41">
        <f>T130-R130</f>
        <v>169.55600000000001</v>
      </c>
      <c r="W130" s="18"/>
      <c r="X130" s="40">
        <f>HYPERLINK("[N&amp;P New retention.xlsx]'Coastal N Reductions'!BI81", 8.56999999999999)</f>
        <v>8.5699999999999896</v>
      </c>
      <c r="Y130" s="40">
        <f>HYPERLINK("[N&amp;P with New retention and Differentiation.xlsx]'Coastal N Reductions'!BI81", 9.76999999999999)</f>
        <v>9.7699999999999907</v>
      </c>
      <c r="Z130" s="41">
        <f>X130-W130</f>
        <v>8.5699999999999896</v>
      </c>
      <c r="AA130" s="41">
        <f>Y130-W130</f>
        <v>9.7699999999999907</v>
      </c>
      <c r="AB130" s="18"/>
      <c r="AC130" s="18"/>
      <c r="AD130" s="18"/>
      <c r="AE130" s="18"/>
      <c r="AF130" s="18"/>
      <c r="AG130" s="40">
        <f>HYPERLINK("[N&amp;P Old retention.xlsx]'Coastal N Reductions'!BH81", 1.11)</f>
        <v>1.1100000000000001</v>
      </c>
      <c r="AH130" s="40">
        <f>HYPERLINK("[N&amp;P New retention.xlsx]'Coastal N Reductions'!BH81", 1.83)</f>
        <v>1.83</v>
      </c>
      <c r="AI130" s="40">
        <f>HYPERLINK("[N&amp;P with New retention and Differentiation.xlsx]'Coastal N Reductions'!BH81", 0.86)</f>
        <v>0.86</v>
      </c>
      <c r="AJ130" s="41">
        <f>AH130-AG130</f>
        <v>0.72</v>
      </c>
      <c r="AK130" s="42">
        <f>AI130-AG130</f>
        <v>-0.25000000000000011</v>
      </c>
      <c r="AL130" s="40">
        <f>HYPERLINK("[N&amp;P Old retention.xlsx]'Coastal N Reductions'!AZ81", 205.6122)</f>
        <v>205.6122</v>
      </c>
      <c r="AM130" s="40">
        <f>HYPERLINK("[N&amp;P New retention.xlsx]'Coastal N Reductions'!AZ81", 197.8554)</f>
        <v>197.8554</v>
      </c>
      <c r="AN130" s="40">
        <f>HYPERLINK("[N&amp;P with New retention and Differentiation.xlsx]'Coastal N Reductions'!AZ81", 190.701)</f>
        <v>190.70099999999999</v>
      </c>
      <c r="AO130" s="42">
        <f>AM130-AL130</f>
        <v>-7.7567999999999984</v>
      </c>
      <c r="AP130" s="42">
        <f>AN130-AL130</f>
        <v>-14.911200000000008</v>
      </c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</row>
    <row r="131" spans="1:62" x14ac:dyDescent="0.55000000000000004">
      <c r="A131" s="31">
        <v>37</v>
      </c>
      <c r="B131" s="5" t="s">
        <v>167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</row>
    <row r="132" spans="1:62" x14ac:dyDescent="0.55000000000000004">
      <c r="A132" s="30">
        <v>38</v>
      </c>
      <c r="B132" s="6" t="s">
        <v>168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</row>
    <row r="133" spans="1:62" x14ac:dyDescent="0.55000000000000004">
      <c r="A133" s="31">
        <v>44</v>
      </c>
      <c r="B133" s="5" t="s">
        <v>169</v>
      </c>
      <c r="C133" s="43">
        <f>HYPERLINK("[N&amp;P Old retention.xlsx]'Coastal N Reductions'!BD84", 94.06)</f>
        <v>94.06</v>
      </c>
      <c r="D133" s="43">
        <f>HYPERLINK("[N&amp;P New retention.xlsx]'Coastal N Reductions'!BD84", 87.1)</f>
        <v>87.1</v>
      </c>
      <c r="E133" s="43">
        <f>HYPERLINK("[N&amp;P with New retention and Differentiation.xlsx]'Coastal N Reductions'!BD84", 77.98)</f>
        <v>77.98</v>
      </c>
      <c r="F133" s="42">
        <f>D133-C133</f>
        <v>-6.960000000000008</v>
      </c>
      <c r="G133" s="42">
        <f>E133-C133</f>
        <v>-16.079999999999998</v>
      </c>
      <c r="H133" s="43">
        <f>HYPERLINK("[N&amp;P Old retention.xlsx]'Coastal N Reductions'!AV84", 631.906)</f>
        <v>631.90599999999995</v>
      </c>
      <c r="I133" s="43">
        <f>HYPERLINK("[N&amp;P New retention.xlsx]'Coastal N Reductions'!AV84", 519.322)</f>
        <v>519.322</v>
      </c>
      <c r="J133" s="43">
        <f>HYPERLINK("[N&amp;P with New retention and Differentiation.xlsx]'Coastal N Reductions'!AV84", 513.918)</f>
        <v>513.91800000000001</v>
      </c>
      <c r="K133" s="42">
        <f>I133-H133</f>
        <v>-112.58399999999995</v>
      </c>
      <c r="L133" s="42">
        <f>J133-H133</f>
        <v>-117.98799999999994</v>
      </c>
      <c r="M133" s="43">
        <f>HYPERLINK("[N&amp;P Old retention.xlsx]'Coastal N Reductions'!AX84", 1599.388)</f>
        <v>1599.3879999999999</v>
      </c>
      <c r="N133" s="43">
        <f>HYPERLINK("[N&amp;P New retention.xlsx]'Coastal N Reductions'!AX84", 655.764)</f>
        <v>655.76400000000001</v>
      </c>
      <c r="O133" s="43">
        <f>HYPERLINK("[N&amp;P with New retention and Differentiation.xlsx]'Coastal N Reductions'!AX84", 655.764)</f>
        <v>655.76400000000001</v>
      </c>
      <c r="P133" s="42">
        <f>N133-M133</f>
        <v>-943.62399999999991</v>
      </c>
      <c r="Q133" s="42">
        <f>O133-M133</f>
        <v>-943.62399999999991</v>
      </c>
      <c r="R133" s="43">
        <f>HYPERLINK("[N&amp;P Old retention.xlsx]'Coastal N Reductions'!BF84", 4.54)</f>
        <v>4.54</v>
      </c>
      <c r="S133" s="13"/>
      <c r="T133" s="43">
        <f>HYPERLINK("[N&amp;P with New retention and Differentiation.xlsx]'Coastal N Reductions'!BF84", 14.91)</f>
        <v>14.91</v>
      </c>
      <c r="U133" s="42">
        <f>S133-R133</f>
        <v>-4.54</v>
      </c>
      <c r="V133" s="41">
        <f>T133-R133</f>
        <v>10.370000000000001</v>
      </c>
      <c r="W133" s="43">
        <f>HYPERLINK("[N&amp;P Old retention.xlsx]'Coastal N Reductions'!BI84", 20.562)</f>
        <v>20.562000000000001</v>
      </c>
      <c r="X133" s="43">
        <f>HYPERLINK("[N&amp;P New retention.xlsx]'Coastal N Reductions'!BI84", 21.012)</f>
        <v>21.012</v>
      </c>
      <c r="Y133" s="43">
        <f>HYPERLINK("[N&amp;P with New retention and Differentiation.xlsx]'Coastal N Reductions'!BI84", 21.012)</f>
        <v>21.012</v>
      </c>
      <c r="Z133" s="41">
        <f>X133-W133</f>
        <v>0.44999999999999929</v>
      </c>
      <c r="AA133" s="41">
        <f>Y133-W133</f>
        <v>0.44999999999999929</v>
      </c>
      <c r="AB133" s="28">
        <f>HYPERLINK("[N&amp;P Old retention.xlsx]'Coastal N Reductions'!BS84", 300)</f>
        <v>300</v>
      </c>
      <c r="AC133" s="28">
        <f>HYPERLINK("[N&amp;P New retention.xlsx]'Coastal N Reductions'!BS84", 4100)</f>
        <v>4100</v>
      </c>
      <c r="AD133" s="28">
        <f>HYPERLINK("[N&amp;P with New retention and Differentiation.xlsx]'Coastal N Reductions'!BS84", 4100)</f>
        <v>4100</v>
      </c>
      <c r="AE133" s="16">
        <f>AC133-AB133</f>
        <v>3800</v>
      </c>
      <c r="AF133" s="16">
        <f>AD133-AB133</f>
        <v>3800</v>
      </c>
      <c r="AG133" s="43">
        <f>HYPERLINK("[N&amp;P Old retention.xlsx]'Coastal N Reductions'!BH84", 5.5)</f>
        <v>5.5</v>
      </c>
      <c r="AH133" s="43">
        <f>HYPERLINK("[N&amp;P New retention.xlsx]'Coastal N Reductions'!BH84", 16.99)</f>
        <v>16.989999999999998</v>
      </c>
      <c r="AI133" s="43">
        <f>HYPERLINK("[N&amp;P with New retention and Differentiation.xlsx]'Coastal N Reductions'!BH84", 14.73)</f>
        <v>14.73</v>
      </c>
      <c r="AJ133" s="41">
        <f>AH133-AG133</f>
        <v>11.489999999999998</v>
      </c>
      <c r="AK133" s="41">
        <f>AI133-AG133</f>
        <v>9.23</v>
      </c>
      <c r="AL133" s="43">
        <f>HYPERLINK("[N&amp;P Old retention.xlsx]'Coastal N Reductions'!AZ84", 98.9532)</f>
        <v>98.953199999999995</v>
      </c>
      <c r="AM133" s="43">
        <f>HYPERLINK("[N&amp;P New retention.xlsx]'Coastal N Reductions'!AZ84", 143.2074)</f>
        <v>143.20740000000001</v>
      </c>
      <c r="AN133" s="43">
        <f>HYPERLINK("[N&amp;P with New retention and Differentiation.xlsx]'Coastal N Reductions'!AZ84", 143.2074)</f>
        <v>143.20740000000001</v>
      </c>
      <c r="AO133" s="41">
        <f>AM133-AL133</f>
        <v>44.254200000000012</v>
      </c>
      <c r="AP133" s="41">
        <f>AN133-AL133</f>
        <v>44.254200000000012</v>
      </c>
      <c r="AQ133" s="43">
        <f>HYPERLINK("[N&amp;P Old retention.xlsx]'Coastal N Reductions'!BE84", 8.288)</f>
        <v>8.2880000000000003</v>
      </c>
      <c r="AR133" s="43">
        <f>HYPERLINK("[N&amp;P New retention.xlsx]'Coastal N Reductions'!BE84", 9.33)</f>
        <v>9.33</v>
      </c>
      <c r="AS133" s="43">
        <f>HYPERLINK("[N&amp;P with New retention and Differentiation.xlsx]'Coastal N Reductions'!BE84", 10.73)</f>
        <v>10.73</v>
      </c>
      <c r="AT133" s="41">
        <f>AR133-AQ133</f>
        <v>1.0419999999999998</v>
      </c>
      <c r="AU133" s="41">
        <f>AS133-AQ133</f>
        <v>2.4420000000000002</v>
      </c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</row>
    <row r="134" spans="1:62" x14ac:dyDescent="0.55000000000000004">
      <c r="A134" s="30">
        <v>45</v>
      </c>
      <c r="B134" s="6" t="s">
        <v>170</v>
      </c>
      <c r="C134" s="40">
        <f>HYPERLINK("[N&amp;P Old retention.xlsx]'Coastal N Reductions'!BD85", 122.812)</f>
        <v>122.812</v>
      </c>
      <c r="D134" s="40">
        <f>HYPERLINK("[N&amp;P New retention.xlsx]'Coastal N Reductions'!BD85", 166.242)</f>
        <v>166.24199999999999</v>
      </c>
      <c r="E134" s="40">
        <f>HYPERLINK("[N&amp;P with New retention and Differentiation.xlsx]'Coastal N Reductions'!BD85", 117.918)</f>
        <v>117.91800000000001</v>
      </c>
      <c r="F134" s="41">
        <f>D134-C134</f>
        <v>43.429999999999993</v>
      </c>
      <c r="G134" s="42">
        <f>E134-C134</f>
        <v>-4.8939999999999912</v>
      </c>
      <c r="H134" s="40">
        <f>HYPERLINK("[N&amp;P Old retention.xlsx]'Coastal N Reductions'!AV85", 880.356)</f>
        <v>880.35599999999999</v>
      </c>
      <c r="I134" s="40">
        <f>HYPERLINK("[N&amp;P New retention.xlsx]'Coastal N Reductions'!AV85", 755.108)</f>
        <v>755.10799999999995</v>
      </c>
      <c r="J134" s="40">
        <f>HYPERLINK("[N&amp;P with New retention and Differentiation.xlsx]'Coastal N Reductions'!AV85", 757.534)</f>
        <v>757.53399999999999</v>
      </c>
      <c r="K134" s="42">
        <f>I134-H134</f>
        <v>-125.24800000000005</v>
      </c>
      <c r="L134" s="42">
        <f>J134-H134</f>
        <v>-122.822</v>
      </c>
      <c r="M134" s="40">
        <f>HYPERLINK("[N&amp;P Old retention.xlsx]'Coastal N Reductions'!AX85", 5061.294)</f>
        <v>5061.2939999999999</v>
      </c>
      <c r="N134" s="40">
        <f>HYPERLINK("[N&amp;P New retention.xlsx]'Coastal N Reductions'!AX85", 5865.008)</f>
        <v>5865.0079999999998</v>
      </c>
      <c r="O134" s="40">
        <f>HYPERLINK("[N&amp;P with New retention and Differentiation.xlsx]'Coastal N Reductions'!AX85", 5839.618)</f>
        <v>5839.6180000000004</v>
      </c>
      <c r="P134" s="41">
        <f>N134-M134</f>
        <v>803.71399999999994</v>
      </c>
      <c r="Q134" s="41">
        <f>O134-M134</f>
        <v>778.32400000000052</v>
      </c>
      <c r="R134" s="40">
        <f>HYPERLINK("[N&amp;P Old retention.xlsx]'Coastal N Reductions'!BF85", 24.9)</f>
        <v>24.9</v>
      </c>
      <c r="S134" s="40">
        <f>HYPERLINK("[N&amp;P New retention.xlsx]'Coastal N Reductions'!BF85", 31.4)</f>
        <v>31.4</v>
      </c>
      <c r="T134" s="40">
        <f>HYPERLINK("[N&amp;P with New retention and Differentiation.xlsx]'Coastal N Reductions'!BF85", 79.724)</f>
        <v>79.724000000000004</v>
      </c>
      <c r="U134" s="41">
        <f>S134-R134</f>
        <v>6.5</v>
      </c>
      <c r="V134" s="41">
        <f>T134-R134</f>
        <v>54.824000000000005</v>
      </c>
      <c r="W134" s="40">
        <f>HYPERLINK("[N&amp;P Old retention.xlsx]'Coastal N Reductions'!BI85", 59.552)</f>
        <v>59.552</v>
      </c>
      <c r="X134" s="40">
        <f>HYPERLINK("[N&amp;P New retention.xlsx]'Coastal N Reductions'!BI85", 59.306)</f>
        <v>59.305999999999997</v>
      </c>
      <c r="Y134" s="40">
        <f>HYPERLINK("[N&amp;P with New retention and Differentiation.xlsx]'Coastal N Reductions'!BI85", 59.306)</f>
        <v>59.305999999999997</v>
      </c>
      <c r="Z134" s="42">
        <f>X134-W134</f>
        <v>-0.24600000000000222</v>
      </c>
      <c r="AA134" s="42">
        <f>Y134-W134</f>
        <v>-0.24600000000000222</v>
      </c>
      <c r="AB134" s="26">
        <f>HYPERLINK("[N&amp;P Old retention.xlsx]'Coastal N Reductions'!BS85", 9500)</f>
        <v>9500</v>
      </c>
      <c r="AC134" s="26">
        <f>HYPERLINK("[N&amp;P New retention.xlsx]'Coastal N Reductions'!BS85", 10350)</f>
        <v>10350</v>
      </c>
      <c r="AD134" s="26">
        <f>HYPERLINK("[N&amp;P with New retention and Differentiation.xlsx]'Coastal N Reductions'!BS85", 10350)</f>
        <v>10350</v>
      </c>
      <c r="AE134" s="16">
        <f>AC134-AB134</f>
        <v>850</v>
      </c>
      <c r="AF134" s="16">
        <f>AD134-AB134</f>
        <v>850</v>
      </c>
      <c r="AG134" s="40">
        <f>HYPERLINK("[N&amp;P Old retention.xlsx]'Coastal N Reductions'!BH85", 13.458)</f>
        <v>13.458</v>
      </c>
      <c r="AH134" s="40">
        <f>HYPERLINK("[N&amp;P New retention.xlsx]'Coastal N Reductions'!BH85", 38.11)</f>
        <v>38.11</v>
      </c>
      <c r="AI134" s="40">
        <f>HYPERLINK("[N&amp;P with New retention and Differentiation.xlsx]'Coastal N Reductions'!BH85", 38.11)</f>
        <v>38.11</v>
      </c>
      <c r="AJ134" s="41">
        <f>AH134-AG134</f>
        <v>24.652000000000001</v>
      </c>
      <c r="AK134" s="41">
        <f>AI134-AG134</f>
        <v>24.652000000000001</v>
      </c>
      <c r="AL134" s="40">
        <f>HYPERLINK("[N&amp;P Old retention.xlsx]'Coastal N Reductions'!AZ85", 77.2482)</f>
        <v>77.248199999999997</v>
      </c>
      <c r="AM134" s="40">
        <f>HYPERLINK("[N&amp;P New retention.xlsx]'Coastal N Reductions'!AZ85", 59.8878)</f>
        <v>59.887799999999999</v>
      </c>
      <c r="AN134" s="40">
        <f>HYPERLINK("[N&amp;P with New retention and Differentiation.xlsx]'Coastal N Reductions'!AZ85", 59.2518)</f>
        <v>59.251800000000003</v>
      </c>
      <c r="AO134" s="42">
        <f>AM134-AL134</f>
        <v>-17.360399999999998</v>
      </c>
      <c r="AP134" s="42">
        <f>AN134-AL134</f>
        <v>-17.996399999999994</v>
      </c>
      <c r="AQ134" s="40">
        <f>HYPERLINK("[N&amp;P Old retention.xlsx]'Coastal N Reductions'!BE85", 76.588)</f>
        <v>76.587999999999994</v>
      </c>
      <c r="AR134" s="40">
        <f>HYPERLINK("[N&amp;P New retention.xlsx]'Coastal N Reductions'!BE85", 110.094)</f>
        <v>110.09399999999999</v>
      </c>
      <c r="AS134" s="40">
        <f>HYPERLINK("[N&amp;P with New retention and Differentiation.xlsx]'Coastal N Reductions'!BE85", 110.274)</f>
        <v>110.274</v>
      </c>
      <c r="AT134" s="41">
        <f>AR134-AQ134</f>
        <v>33.506</v>
      </c>
      <c r="AU134" s="41">
        <f>AS134-AQ134</f>
        <v>33.686000000000007</v>
      </c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26">
        <f>HYPERLINK("[N&amp;P New retention.xlsx]'Coastal N Reductions'!BT85", 2)</f>
        <v>2</v>
      </c>
      <c r="BH134" s="26">
        <f>HYPERLINK("[N&amp;P with New retention and Differentiation.xlsx]'Coastal N Reductions'!BT85", 2)</f>
        <v>2</v>
      </c>
      <c r="BI134" s="16">
        <f>BG134-BF134</f>
        <v>2</v>
      </c>
      <c r="BJ134" s="16">
        <f>BH134-BF134</f>
        <v>2</v>
      </c>
    </row>
    <row r="135" spans="1:62" x14ac:dyDescent="0.55000000000000004">
      <c r="A135" s="31">
        <v>46</v>
      </c>
      <c r="B135" s="5" t="s">
        <v>171</v>
      </c>
      <c r="C135" s="43">
        <f>HYPERLINK("[N&amp;P Old retention.xlsx]'Coastal N Reductions'!BD86", 5.27)</f>
        <v>5.27</v>
      </c>
      <c r="D135" s="43">
        <f>HYPERLINK("[N&amp;P New retention.xlsx]'Coastal N Reductions'!BD86", 5.27)</f>
        <v>5.27</v>
      </c>
      <c r="E135" s="43">
        <f>HYPERLINK("[N&amp;P with New retention and Differentiation.xlsx]'Coastal N Reductions'!BD86", 5.27)</f>
        <v>5.27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43">
        <f>HYPERLINK("[N&amp;P Old retention.xlsx]'Coastal N Reductions'!BP86", 4.23)</f>
        <v>4.2300000000000004</v>
      </c>
      <c r="BB135" s="43">
        <f>HYPERLINK("[N&amp;P New retention.xlsx]'Coastal N Reductions'!BP86", 4.23)</f>
        <v>4.2300000000000004</v>
      </c>
      <c r="BC135" s="43">
        <f>HYPERLINK("[N&amp;P with New retention and Differentiation.xlsx]'Coastal N Reductions'!BP86", 4.23)</f>
        <v>4.2300000000000004</v>
      </c>
      <c r="BD135" s="13"/>
      <c r="BE135" s="13"/>
      <c r="BF135" s="13"/>
      <c r="BG135" s="13"/>
      <c r="BH135" s="13"/>
      <c r="BI135" s="13"/>
      <c r="BJ135" s="13"/>
    </row>
    <row r="136" spans="1:62" x14ac:dyDescent="0.55000000000000004">
      <c r="A136" s="30">
        <v>47</v>
      </c>
      <c r="B136" s="6" t="s">
        <v>172</v>
      </c>
      <c r="C136" s="40">
        <f>HYPERLINK("[N&amp;P Old retention.xlsx]'Coastal N Reductions'!BD87", 374.852)</f>
        <v>374.85199999999998</v>
      </c>
      <c r="D136" s="40">
        <f>HYPERLINK("[N&amp;P New retention.xlsx]'Coastal N Reductions'!BD87", 303.782)</f>
        <v>303.78199999999998</v>
      </c>
      <c r="E136" s="40">
        <f>HYPERLINK("[N&amp;P with New retention and Differentiation.xlsx]'Coastal N Reductions'!BD87", 73.954)</f>
        <v>73.953999999999994</v>
      </c>
      <c r="F136" s="42">
        <f>D136-C136</f>
        <v>-71.069999999999993</v>
      </c>
      <c r="G136" s="42">
        <f>E136-C136</f>
        <v>-300.89799999999997</v>
      </c>
      <c r="H136" s="40">
        <f>HYPERLINK("[N&amp;P Old retention.xlsx]'Coastal N Reductions'!AV87", 555.348)</f>
        <v>555.34799999999996</v>
      </c>
      <c r="I136" s="40">
        <f>HYPERLINK("[N&amp;P New retention.xlsx]'Coastal N Reductions'!AV87", 590.714)</f>
        <v>590.71400000000006</v>
      </c>
      <c r="J136" s="40">
        <f>HYPERLINK("[N&amp;P with New retention and Differentiation.xlsx]'Coastal N Reductions'!AV87", 588.97)</f>
        <v>588.97</v>
      </c>
      <c r="K136" s="41">
        <f>I136-H136</f>
        <v>35.366000000000099</v>
      </c>
      <c r="L136" s="41">
        <f>J136-H136</f>
        <v>33.622000000000071</v>
      </c>
      <c r="M136" s="40">
        <f>HYPERLINK("[N&amp;P Old retention.xlsx]'Coastal N Reductions'!AX87", 4514.42)</f>
        <v>4514.42</v>
      </c>
      <c r="N136" s="40">
        <f>HYPERLINK("[N&amp;P New retention.xlsx]'Coastal N Reductions'!AX87", 4084.452)</f>
        <v>4084.4520000000002</v>
      </c>
      <c r="O136" s="40">
        <f>HYPERLINK("[N&amp;P with New retention and Differentiation.xlsx]'Coastal N Reductions'!AX87", 4064.094)</f>
        <v>4064.0940000000001</v>
      </c>
      <c r="P136" s="42">
        <f>N136-M136</f>
        <v>-429.96799999999985</v>
      </c>
      <c r="Q136" s="42">
        <f>O136-M136</f>
        <v>-450.32600000000002</v>
      </c>
      <c r="R136" s="40">
        <f>HYPERLINK("[N&amp;P Old retention.xlsx]'Coastal N Reductions'!BF87", 28.736)</f>
        <v>28.736000000000001</v>
      </c>
      <c r="S136" s="40">
        <f>HYPERLINK("[N&amp;P New retention.xlsx]'Coastal N Reductions'!BF87", 33.25)</f>
        <v>33.25</v>
      </c>
      <c r="T136" s="40">
        <f>HYPERLINK("[N&amp;P with New retention and Differentiation.xlsx]'Coastal N Reductions'!BF87", 274.508)</f>
        <v>274.50799999999998</v>
      </c>
      <c r="U136" s="41">
        <f>S136-R136</f>
        <v>4.5139999999999993</v>
      </c>
      <c r="V136" s="41">
        <f>T136-R136</f>
        <v>245.77199999999999</v>
      </c>
      <c r="W136" s="40">
        <f>HYPERLINK("[N&amp;P Old retention.xlsx]'Coastal N Reductions'!BI87", 18.868)</f>
        <v>18.867999999999999</v>
      </c>
      <c r="X136" s="40">
        <f>HYPERLINK("[N&amp;P New retention.xlsx]'Coastal N Reductions'!BI87", 19.298)</f>
        <v>19.297999999999998</v>
      </c>
      <c r="Y136" s="40">
        <f>HYPERLINK("[N&amp;P with New retention and Differentiation.xlsx]'Coastal N Reductions'!BI87", 19.298)</f>
        <v>19.297999999999998</v>
      </c>
      <c r="Z136" s="41">
        <f>X136-W136</f>
        <v>0.42999999999999972</v>
      </c>
      <c r="AA136" s="41">
        <f>Y136-W136</f>
        <v>0.42999999999999972</v>
      </c>
      <c r="AB136" s="26">
        <f>HYPERLINK("[N&amp;P Old retention.xlsx]'Coastal N Reductions'!BS87", 350)</f>
        <v>350</v>
      </c>
      <c r="AC136" s="26">
        <f>HYPERLINK("[N&amp;P New retention.xlsx]'Coastal N Reductions'!BS87", 6450)</f>
        <v>6450</v>
      </c>
      <c r="AD136" s="26">
        <f>HYPERLINK("[N&amp;P with New retention and Differentiation.xlsx]'Coastal N Reductions'!BS87", 6450)</f>
        <v>6450</v>
      </c>
      <c r="AE136" s="16">
        <f>AC136-AB136</f>
        <v>6100</v>
      </c>
      <c r="AF136" s="16">
        <f>AD136-AB136</f>
        <v>6100</v>
      </c>
      <c r="AG136" s="40">
        <f>HYPERLINK("[N&amp;P Old retention.xlsx]'Coastal N Reductions'!BH87", 2.21)</f>
        <v>2.21</v>
      </c>
      <c r="AH136" s="40">
        <f>HYPERLINK("[N&amp;P New retention.xlsx]'Coastal N Reductions'!BH87", 3.52)</f>
        <v>3.52</v>
      </c>
      <c r="AI136" s="40">
        <f>HYPERLINK("[N&amp;P with New retention and Differentiation.xlsx]'Coastal N Reductions'!BH87", 3.52)</f>
        <v>3.52</v>
      </c>
      <c r="AJ136" s="41">
        <f>AH136-AG136</f>
        <v>1.31</v>
      </c>
      <c r="AK136" s="41">
        <f>AI136-AG136</f>
        <v>1.31</v>
      </c>
      <c r="AL136" s="40">
        <f>HYPERLINK("[N&amp;P Old retention.xlsx]'Coastal N Reductions'!AZ87", 55.269)</f>
        <v>55.268999999999998</v>
      </c>
      <c r="AM136" s="40">
        <f>HYPERLINK("[N&amp;P New retention.xlsx]'Coastal N Reductions'!AZ87", 59.0004)</f>
        <v>59.000399999999999</v>
      </c>
      <c r="AN136" s="40">
        <f>HYPERLINK("[N&amp;P with New retention and Differentiation.xlsx]'Coastal N Reductions'!AZ87", 59.622)</f>
        <v>59.622</v>
      </c>
      <c r="AO136" s="41">
        <f>AM136-AL136</f>
        <v>3.7314000000000007</v>
      </c>
      <c r="AP136" s="41">
        <f>AN136-AL136</f>
        <v>4.3530000000000015</v>
      </c>
      <c r="AQ136" s="40">
        <f>HYPERLINK("[N&amp;P Old retention.xlsx]'Coastal N Reductions'!BE87", 11.89)</f>
        <v>11.89</v>
      </c>
      <c r="AR136" s="40">
        <f>HYPERLINK("[N&amp;P New retention.xlsx]'Coastal N Reductions'!BE87", 16.962)</f>
        <v>16.962</v>
      </c>
      <c r="AS136" s="40">
        <f>HYPERLINK("[N&amp;P with New retention and Differentiation.xlsx]'Coastal N Reductions'!BE87", 13.712)</f>
        <v>13.712</v>
      </c>
      <c r="AT136" s="41">
        <f>AR136-AQ136</f>
        <v>5.0719999999999992</v>
      </c>
      <c r="AU136" s="41">
        <f>AS136-AQ136</f>
        <v>1.8219999999999992</v>
      </c>
      <c r="AV136" s="18"/>
      <c r="AW136" s="18"/>
      <c r="AX136" s="40">
        <f>HYPERLINK("[N&amp;P with New retention and Differentiation.xlsx]'Coastal N Reductions'!BC87", 3.76)</f>
        <v>3.76</v>
      </c>
      <c r="AY136" s="18"/>
      <c r="AZ136" s="41">
        <f>AX136-AV136</f>
        <v>3.76</v>
      </c>
      <c r="BA136" s="40">
        <f>HYPERLINK("[N&amp;P Old retention.xlsx]'Coastal N Reductions'!BP87", 10.098)</f>
        <v>10.098000000000001</v>
      </c>
      <c r="BB136" s="40">
        <f>HYPERLINK("[N&amp;P New retention.xlsx]'Coastal N Reductions'!BP87", 8.164)</f>
        <v>8.1639999999999997</v>
      </c>
      <c r="BC136" s="40">
        <f>HYPERLINK("[N&amp;P with New retention and Differentiation.xlsx]'Coastal N Reductions'!BP87", 10.37)</f>
        <v>10.37</v>
      </c>
      <c r="BD136" s="42">
        <f>BB136-BA136</f>
        <v>-1.9340000000000011</v>
      </c>
      <c r="BE136" s="41">
        <f>BC136-BA136</f>
        <v>0.27199999999999847</v>
      </c>
      <c r="BF136" s="18"/>
      <c r="BG136" s="18"/>
      <c r="BH136" s="18"/>
      <c r="BI136" s="18"/>
      <c r="BJ136" s="18"/>
    </row>
    <row r="137" spans="1:62" x14ac:dyDescent="0.55000000000000004">
      <c r="A137" s="31">
        <v>48</v>
      </c>
      <c r="B137" s="5" t="s">
        <v>173</v>
      </c>
      <c r="C137" s="43">
        <f>HYPERLINK("[N&amp;P Old retention.xlsx]'Coastal N Reductions'!BD88", 401.962)</f>
        <v>401.96199999999999</v>
      </c>
      <c r="D137" s="43">
        <f>HYPERLINK("[N&amp;P New retention.xlsx]'Coastal N Reductions'!BD88", 414.942)</f>
        <v>414.94200000000001</v>
      </c>
      <c r="E137" s="43">
        <f>HYPERLINK("[N&amp;P with New retention and Differentiation.xlsx]'Coastal N Reductions'!BD88", 414.942)</f>
        <v>414.94200000000001</v>
      </c>
      <c r="F137" s="41">
        <f>D137-C137</f>
        <v>12.980000000000018</v>
      </c>
      <c r="G137" s="41">
        <f>E137-C137</f>
        <v>12.980000000000018</v>
      </c>
      <c r="H137" s="43">
        <f>HYPERLINK("[N&amp;P Old retention.xlsx]'Coastal N Reductions'!AV88", 794.136)</f>
        <v>794.13599999999997</v>
      </c>
      <c r="I137" s="43">
        <f>HYPERLINK("[N&amp;P New retention.xlsx]'Coastal N Reductions'!AV88", 791.194)</f>
        <v>791.19399999999996</v>
      </c>
      <c r="J137" s="43">
        <f>HYPERLINK("[N&amp;P with New retention and Differentiation.xlsx]'Coastal N Reductions'!AV88", 791.194)</f>
        <v>791.19399999999996</v>
      </c>
      <c r="K137" s="42">
        <f>I137-H137</f>
        <v>-2.9420000000000073</v>
      </c>
      <c r="L137" s="42">
        <f>J137-H137</f>
        <v>-2.9420000000000073</v>
      </c>
      <c r="M137" s="43">
        <f>HYPERLINK("[N&amp;P Old retention.xlsx]'Coastal N Reductions'!AX88", 790.812)</f>
        <v>790.81200000000001</v>
      </c>
      <c r="N137" s="43">
        <f>HYPERLINK("[N&amp;P New retention.xlsx]'Coastal N Reductions'!AX88", 1270.44)</f>
        <v>1270.44</v>
      </c>
      <c r="O137" s="43">
        <f>HYPERLINK("[N&amp;P with New retention and Differentiation.xlsx]'Coastal N Reductions'!AX88", 1270.302)</f>
        <v>1270.3019999999999</v>
      </c>
      <c r="P137" s="41">
        <f>N137-M137</f>
        <v>479.62800000000004</v>
      </c>
      <c r="Q137" s="41">
        <f>O137-M137</f>
        <v>479.4899999999999</v>
      </c>
      <c r="R137" s="43">
        <f>HYPERLINK("[N&amp;P Old retention.xlsx]'Coastal N Reductions'!BF88", 8.74)</f>
        <v>8.74</v>
      </c>
      <c r="S137" s="43">
        <f>HYPERLINK("[N&amp;P New retention.xlsx]'Coastal N Reductions'!BF88", 8.74)</f>
        <v>8.74</v>
      </c>
      <c r="T137" s="43">
        <f>HYPERLINK("[N&amp;P with New retention and Differentiation.xlsx]'Coastal N Reductions'!BF88", 8.74)</f>
        <v>8.74</v>
      </c>
      <c r="U137" s="13"/>
      <c r="V137" s="13"/>
      <c r="W137" s="43">
        <f>HYPERLINK("[N&amp;P Old retention.xlsx]'Coastal N Reductions'!BI88", 80.072)</f>
        <v>80.072000000000003</v>
      </c>
      <c r="X137" s="43">
        <f>HYPERLINK("[N&amp;P New retention.xlsx]'Coastal N Reductions'!BI88", 83.844)</f>
        <v>83.843999999999994</v>
      </c>
      <c r="Y137" s="43">
        <f>HYPERLINK("[N&amp;P with New retention and Differentiation.xlsx]'Coastal N Reductions'!BI88", 83.844)</f>
        <v>83.843999999999994</v>
      </c>
      <c r="Z137" s="41">
        <f>X137-W137</f>
        <v>3.7719999999999914</v>
      </c>
      <c r="AA137" s="41">
        <f>Y137-W137</f>
        <v>3.7719999999999914</v>
      </c>
      <c r="AB137" s="28">
        <f>HYPERLINK("[N&amp;P Old retention.xlsx]'Coastal N Reductions'!BS88", 150)</f>
        <v>150</v>
      </c>
      <c r="AC137" s="28">
        <f>HYPERLINK("[N&amp;P New retention.xlsx]'Coastal N Reductions'!BS88", 150)</f>
        <v>150</v>
      </c>
      <c r="AD137" s="28">
        <f>HYPERLINK("[N&amp;P with New retention and Differentiation.xlsx]'Coastal N Reductions'!BS88", 150)</f>
        <v>150</v>
      </c>
      <c r="AE137" s="13"/>
      <c r="AF137" s="13"/>
      <c r="AG137" s="43">
        <f>HYPERLINK("[N&amp;P Old retention.xlsx]'Coastal N Reductions'!BH88", 4.142)</f>
        <v>4.1420000000000003</v>
      </c>
      <c r="AH137" s="43">
        <f>HYPERLINK("[N&amp;P New retention.xlsx]'Coastal N Reductions'!BH88", 17.354)</f>
        <v>17.353999999999999</v>
      </c>
      <c r="AI137" s="43">
        <f>HYPERLINK("[N&amp;P with New retention and Differentiation.xlsx]'Coastal N Reductions'!BH88", 17.354)</f>
        <v>17.353999999999999</v>
      </c>
      <c r="AJ137" s="41">
        <f>AH137-AG137</f>
        <v>13.212</v>
      </c>
      <c r="AK137" s="41">
        <f>AI137-AG137</f>
        <v>13.212</v>
      </c>
      <c r="AL137" s="43">
        <f>HYPERLINK("[N&amp;P Old retention.xlsx]'Coastal N Reductions'!AZ88", 494.226)</f>
        <v>494.226</v>
      </c>
      <c r="AM137" s="43">
        <f>HYPERLINK("[N&amp;P New retention.xlsx]'Coastal N Reductions'!AZ88", 437.2152)</f>
        <v>437.21519999999998</v>
      </c>
      <c r="AN137" s="43">
        <f>HYPERLINK("[N&amp;P with New retention and Differentiation.xlsx]'Coastal N Reductions'!AZ88", 437.2152)</f>
        <v>437.21519999999998</v>
      </c>
      <c r="AO137" s="42">
        <f>AM137-AL137</f>
        <v>-57.010800000000017</v>
      </c>
      <c r="AP137" s="42">
        <f>AN137-AL137</f>
        <v>-57.010800000000017</v>
      </c>
      <c r="AQ137" s="13"/>
      <c r="AR137" s="43">
        <f>HYPERLINK("[N&amp;P New retention.xlsx]'Coastal N Reductions'!BE88", 0.0720000000000001)</f>
        <v>7.2000000000000106E-2</v>
      </c>
      <c r="AS137" s="43">
        <f>HYPERLINK("[N&amp;P with New retention and Differentiation.xlsx]'Coastal N Reductions'!BE88", 0.0720000000000001)</f>
        <v>7.2000000000000106E-2</v>
      </c>
      <c r="AT137" s="41">
        <f>AR137-AQ137</f>
        <v>7.2000000000000106E-2</v>
      </c>
      <c r="AU137" s="41">
        <f>AS137-AQ137</f>
        <v>7.2000000000000106E-2</v>
      </c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</row>
    <row r="138" spans="1:62" x14ac:dyDescent="0.55000000000000004">
      <c r="A138" s="30">
        <v>49</v>
      </c>
      <c r="B138" s="6" t="s">
        <v>174</v>
      </c>
      <c r="C138" s="40">
        <f>HYPERLINK("[N&amp;P Old retention.xlsx]'Coastal N Reductions'!BD89", 402.464)</f>
        <v>402.464</v>
      </c>
      <c r="D138" s="40">
        <f>HYPERLINK("[N&amp;P New retention.xlsx]'Coastal N Reductions'!BD89", 401.004)</f>
        <v>401.00400000000002</v>
      </c>
      <c r="E138" s="18"/>
      <c r="F138" s="42">
        <f>D138-C138</f>
        <v>-1.4599999999999795</v>
      </c>
      <c r="G138" s="42">
        <f>E138-C138</f>
        <v>-402.464</v>
      </c>
      <c r="H138" s="40">
        <f>HYPERLINK("[N&amp;P Old retention.xlsx]'Coastal N Reductions'!AV89", 11.532)</f>
        <v>11.532</v>
      </c>
      <c r="I138" s="40">
        <f>HYPERLINK("[N&amp;P New retention.xlsx]'Coastal N Reductions'!AV89", 11.532)</f>
        <v>11.532</v>
      </c>
      <c r="J138" s="40">
        <f>HYPERLINK("[N&amp;P with New retention and Differentiation.xlsx]'Coastal N Reductions'!AV89", 11.284)</f>
        <v>11.284000000000001</v>
      </c>
      <c r="K138" s="18"/>
      <c r="L138" s="42">
        <f>J138-H138</f>
        <v>-0.24799999999999933</v>
      </c>
      <c r="M138" s="40">
        <f>HYPERLINK("[N&amp;P Old retention.xlsx]'Coastal N Reductions'!AX89", 869.426)</f>
        <v>869.42600000000004</v>
      </c>
      <c r="N138" s="40">
        <f>HYPERLINK("[N&amp;P New retention.xlsx]'Coastal N Reductions'!AX89", 869.426)</f>
        <v>869.42600000000004</v>
      </c>
      <c r="O138" s="40">
        <f>HYPERLINK("[N&amp;P with New retention and Differentiation.xlsx]'Coastal N Reductions'!AX89", 802.182)</f>
        <v>802.18200000000002</v>
      </c>
      <c r="P138" s="18"/>
      <c r="Q138" s="42">
        <f>O138-M138</f>
        <v>-67.244000000000028</v>
      </c>
      <c r="R138" s="18"/>
      <c r="S138" s="18"/>
      <c r="T138" s="40">
        <f>HYPERLINK("[N&amp;P with New retention and Differentiation.xlsx]'Coastal N Reductions'!BF89", 468.992)</f>
        <v>468.99200000000002</v>
      </c>
      <c r="U138" s="18"/>
      <c r="V138" s="41">
        <f>T138-R138</f>
        <v>468.99200000000002</v>
      </c>
      <c r="W138" s="40">
        <f>HYPERLINK("[N&amp;P Old retention.xlsx]'Coastal N Reductions'!BI89", 0.65)</f>
        <v>0.65</v>
      </c>
      <c r="X138" s="40">
        <f>HYPERLINK("[N&amp;P New retention.xlsx]'Coastal N Reductions'!BI89", 0.65)</f>
        <v>0.65</v>
      </c>
      <c r="Y138" s="40">
        <f>HYPERLINK("[N&amp;P with New retention and Differentiation.xlsx]'Coastal N Reductions'!BI89", 0.65)</f>
        <v>0.65</v>
      </c>
      <c r="Z138" s="18"/>
      <c r="AA138" s="18"/>
      <c r="AB138" s="26">
        <f>HYPERLINK("[N&amp;P Old retention.xlsx]'Coastal N Reductions'!BS89", 1230)</f>
        <v>1230</v>
      </c>
      <c r="AC138" s="26">
        <f>HYPERLINK("[N&amp;P New retention.xlsx]'Coastal N Reductions'!BS89", 1230)</f>
        <v>1230</v>
      </c>
      <c r="AD138" s="26">
        <f>HYPERLINK("[N&amp;P with New retention and Differentiation.xlsx]'Coastal N Reductions'!BS89", 1230)</f>
        <v>1230</v>
      </c>
      <c r="AE138" s="18"/>
      <c r="AF138" s="18"/>
      <c r="AG138" s="18"/>
      <c r="AH138" s="40">
        <f>HYPERLINK("[N&amp;P New retention.xlsx]'Coastal N Reductions'!BH89", 0.640000000000001)</f>
        <v>0.64000000000000101</v>
      </c>
      <c r="AI138" s="40">
        <f>HYPERLINK("[N&amp;P with New retention and Differentiation.xlsx]'Coastal N Reductions'!BH89", 0.640000000000001)</f>
        <v>0.64000000000000101</v>
      </c>
      <c r="AJ138" s="41">
        <f>AH138-AG138</f>
        <v>0.64000000000000101</v>
      </c>
      <c r="AK138" s="41">
        <f>AI138-AG138</f>
        <v>0.64000000000000101</v>
      </c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</row>
    <row r="139" spans="1:62" x14ac:dyDescent="0.55000000000000004">
      <c r="A139" s="31">
        <v>56</v>
      </c>
      <c r="B139" s="5" t="s">
        <v>175</v>
      </c>
      <c r="C139" s="43">
        <f>HYPERLINK("[N&amp;P Old retention.xlsx]'Coastal N Reductions'!BD90", 48.34)</f>
        <v>48.34</v>
      </c>
      <c r="D139" s="43">
        <f>HYPERLINK("[N&amp;P New retention.xlsx]'Coastal N Reductions'!BD90", 48.34)</f>
        <v>48.34</v>
      </c>
      <c r="E139" s="13"/>
      <c r="F139" s="13"/>
      <c r="G139" s="42">
        <f>E139-C139</f>
        <v>-48.34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43">
        <f>HYPERLINK("[N&amp;P with New retention and Differentiation.xlsx]'Coastal N Reductions'!BF90", 48.34)</f>
        <v>48.34</v>
      </c>
      <c r="U139" s="13"/>
      <c r="V139" s="41">
        <f>T139-R139</f>
        <v>48.34</v>
      </c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</row>
    <row r="140" spans="1:62" x14ac:dyDescent="0.55000000000000004">
      <c r="A140" s="30">
        <v>57</v>
      </c>
      <c r="B140" s="6" t="s">
        <v>176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</row>
    <row r="141" spans="1:62" x14ac:dyDescent="0.55000000000000004">
      <c r="A141" s="31">
        <v>59</v>
      </c>
      <c r="B141" s="5" t="s">
        <v>177</v>
      </c>
      <c r="C141" s="43">
        <f>HYPERLINK("[N&amp;P Old retention.xlsx]'Coastal N Reductions'!BD92", 2138.89451308901)</f>
        <v>2138.8945130890102</v>
      </c>
      <c r="D141" s="43">
        <f>HYPERLINK("[N&amp;P New retention.xlsx]'Coastal N Reductions'!BD92", 1734.522)</f>
        <v>1734.5219999999999</v>
      </c>
      <c r="E141" s="43">
        <f>HYPERLINK("[N&amp;P with New retention and Differentiation.xlsx]'Coastal N Reductions'!BD92", 1711.872)</f>
        <v>1711.8720000000001</v>
      </c>
      <c r="F141" s="42">
        <f>D141-C141</f>
        <v>-404.37251308901023</v>
      </c>
      <c r="G141" s="42">
        <f>E141-C141</f>
        <v>-427.02251308901009</v>
      </c>
      <c r="H141" s="43">
        <f>HYPERLINK("[N&amp;P Old retention.xlsx]'Coastal N Reductions'!AV92", 211.244)</f>
        <v>211.244</v>
      </c>
      <c r="I141" s="43">
        <f>HYPERLINK("[N&amp;P New retention.xlsx]'Coastal N Reductions'!AV92", 240.666)</f>
        <v>240.666</v>
      </c>
      <c r="J141" s="43">
        <f>HYPERLINK("[N&amp;P with New retention and Differentiation.xlsx]'Coastal N Reductions'!AV92", 243.988)</f>
        <v>243.988</v>
      </c>
      <c r="K141" s="41">
        <f>I141-H141</f>
        <v>29.421999999999997</v>
      </c>
      <c r="L141" s="41">
        <f>J141-H141</f>
        <v>32.744</v>
      </c>
      <c r="M141" s="43">
        <f>HYPERLINK("[N&amp;P Old retention.xlsx]'Coastal N Reductions'!AX92", 36.982)</f>
        <v>36.981999999999999</v>
      </c>
      <c r="N141" s="43">
        <f>HYPERLINK("[N&amp;P New retention.xlsx]'Coastal N Reductions'!AX92", 12.756)</f>
        <v>12.756</v>
      </c>
      <c r="O141" s="43">
        <f>HYPERLINK("[N&amp;P with New retention and Differentiation.xlsx]'Coastal N Reductions'!AX92", 10.092)</f>
        <v>10.092000000000001</v>
      </c>
      <c r="P141" s="42">
        <f>N141-M141</f>
        <v>-24.225999999999999</v>
      </c>
      <c r="Q141" s="42">
        <f>O141-M141</f>
        <v>-26.89</v>
      </c>
      <c r="R141" s="43">
        <f>HYPERLINK("[N&amp;P Old retention.xlsx]'Coastal N Reductions'!BF92", 28.53)</f>
        <v>28.53</v>
      </c>
      <c r="S141" s="43">
        <f>HYPERLINK("[N&amp;P New retention.xlsx]'Coastal N Reductions'!BF92", 8.1)</f>
        <v>8.1</v>
      </c>
      <c r="T141" s="43">
        <f>HYPERLINK("[N&amp;P with New retention and Differentiation.xlsx]'Coastal N Reductions'!BF92", 25.93)</f>
        <v>25.93</v>
      </c>
      <c r="U141" s="42">
        <f>S141-R141</f>
        <v>-20.43</v>
      </c>
      <c r="V141" s="42">
        <f>T141-R141</f>
        <v>-2.6000000000000014</v>
      </c>
      <c r="W141" s="43">
        <f>HYPERLINK("[N&amp;P Old retention.xlsx]'Coastal N Reductions'!BI92", 273.364)</f>
        <v>273.36399999999998</v>
      </c>
      <c r="X141" s="43">
        <f>HYPERLINK("[N&amp;P New retention.xlsx]'Coastal N Reductions'!BI92", 266.526)</f>
        <v>266.52600000000001</v>
      </c>
      <c r="Y141" s="43">
        <f>HYPERLINK("[N&amp;P with New retention and Differentiation.xlsx]'Coastal N Reductions'!BI92", 266.496)</f>
        <v>266.49599999999998</v>
      </c>
      <c r="Z141" s="42">
        <f>X141-W141</f>
        <v>-6.8379999999999654</v>
      </c>
      <c r="AA141" s="42">
        <f>Y141-W141</f>
        <v>-6.867999999999995</v>
      </c>
      <c r="AB141" s="13"/>
      <c r="AC141" s="13"/>
      <c r="AD141" s="13"/>
      <c r="AE141" s="13"/>
      <c r="AF141" s="13"/>
      <c r="AG141" s="43">
        <f>HYPERLINK("[N&amp;P Old retention.xlsx]'Coastal N Reductions'!BH92", 66.516)</f>
        <v>66.516000000000005</v>
      </c>
      <c r="AH141" s="43">
        <f>HYPERLINK("[N&amp;P New retention.xlsx]'Coastal N Reductions'!BH92", 59.946335078534)</f>
        <v>59.946335078533998</v>
      </c>
      <c r="AI141" s="43">
        <f>HYPERLINK("[N&amp;P with New retention and Differentiation.xlsx]'Coastal N Reductions'!BH92", 56.816335078534)</f>
        <v>56.816335078534003</v>
      </c>
      <c r="AJ141" s="42">
        <f>AH141-AG141</f>
        <v>-6.569664921466007</v>
      </c>
      <c r="AK141" s="42">
        <f>AI141-AG141</f>
        <v>-9.6996649214660025</v>
      </c>
      <c r="AL141" s="43">
        <f>HYPERLINK("[N&amp;P Old retention.xlsx]'Coastal N Reductions'!AZ92", 163.584)</f>
        <v>163.584</v>
      </c>
      <c r="AM141" s="43">
        <f>HYPERLINK("[N&amp;P New retention.xlsx]'Coastal N Reductions'!AZ92", 254.6742)</f>
        <v>254.67420000000001</v>
      </c>
      <c r="AN141" s="43">
        <f>HYPERLINK("[N&amp;P with New retention and Differentiation.xlsx]'Coastal N Reductions'!AZ92", 253.3542)</f>
        <v>253.35419999999999</v>
      </c>
      <c r="AO141" s="41">
        <f>AM141-AL141</f>
        <v>91.09020000000001</v>
      </c>
      <c r="AP141" s="41">
        <f>AN141-AL141</f>
        <v>89.770199999999988</v>
      </c>
      <c r="AQ141" s="43">
        <f>HYPERLINK("[N&amp;P Old retention.xlsx]'Coastal N Reductions'!BE92", 10.786)</f>
        <v>10.786</v>
      </c>
      <c r="AR141" s="43">
        <f>HYPERLINK("[N&amp;P New retention.xlsx]'Coastal N Reductions'!BE92", 1.316)</f>
        <v>1.3160000000000001</v>
      </c>
      <c r="AS141" s="43">
        <f>HYPERLINK("[N&amp;P with New retention and Differentiation.xlsx]'Coastal N Reductions'!BE92", 6.316)</f>
        <v>6.3159999999999998</v>
      </c>
      <c r="AT141" s="42">
        <f>AR141-AQ141</f>
        <v>-9.4699999999999989</v>
      </c>
      <c r="AU141" s="42">
        <f>AS141-AQ141</f>
        <v>-4.47</v>
      </c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</row>
    <row r="142" spans="1:62" x14ac:dyDescent="0.55000000000000004">
      <c r="A142" s="30">
        <v>62</v>
      </c>
      <c r="B142" s="6" t="s">
        <v>178</v>
      </c>
      <c r="C142" s="40">
        <f>HYPERLINK("[N&amp;P Old retention.xlsx]'Coastal N Reductions'!BD94", 82.154)</f>
        <v>82.153999999999996</v>
      </c>
      <c r="D142" s="40">
        <f>HYPERLINK("[N&amp;P New retention.xlsx]'Coastal N Reductions'!BD94", 46.754)</f>
        <v>46.753999999999998</v>
      </c>
      <c r="E142" s="40">
        <f>HYPERLINK("[N&amp;P with New retention and Differentiation.xlsx]'Coastal N Reductions'!BD94", 46.754)</f>
        <v>46.753999999999998</v>
      </c>
      <c r="F142" s="42">
        <f>D142-C142</f>
        <v>-35.4</v>
      </c>
      <c r="G142" s="42">
        <f>E142-C142</f>
        <v>-35.4</v>
      </c>
      <c r="H142" s="40">
        <f>HYPERLINK("[N&amp;P Old retention.xlsx]'Coastal N Reductions'!AV94", 23.772)</f>
        <v>23.771999999999998</v>
      </c>
      <c r="I142" s="40">
        <f>HYPERLINK("[N&amp;P New retention.xlsx]'Coastal N Reductions'!AV94", 26.098)</f>
        <v>26.097999999999999</v>
      </c>
      <c r="J142" s="40">
        <f>HYPERLINK("[N&amp;P with New retention and Differentiation.xlsx]'Coastal N Reductions'!AV94", 24.092)</f>
        <v>24.091999999999999</v>
      </c>
      <c r="K142" s="41">
        <f>I142-H142</f>
        <v>2.3260000000000005</v>
      </c>
      <c r="L142" s="41">
        <f>J142-H142</f>
        <v>0.32000000000000028</v>
      </c>
      <c r="M142" s="40">
        <f>HYPERLINK("[N&amp;P Old retention.xlsx]'Coastal N Reductions'!AX94", 17.902)</f>
        <v>17.902000000000001</v>
      </c>
      <c r="N142" s="40">
        <f>HYPERLINK("[N&amp;P New retention.xlsx]'Coastal N Reductions'!AX94", 17.386)</f>
        <v>17.385999999999999</v>
      </c>
      <c r="O142" s="40">
        <f>HYPERLINK("[N&amp;P with New retention and Differentiation.xlsx]'Coastal N Reductions'!AX94", 17.386)</f>
        <v>17.385999999999999</v>
      </c>
      <c r="P142" s="42">
        <f>N142-M142</f>
        <v>-0.51600000000000179</v>
      </c>
      <c r="Q142" s="42">
        <f>O142-M142</f>
        <v>-0.51600000000000179</v>
      </c>
      <c r="R142" s="18"/>
      <c r="S142" s="18"/>
      <c r="T142" s="18"/>
      <c r="U142" s="18"/>
      <c r="V142" s="18"/>
      <c r="W142" s="40">
        <f>HYPERLINK("[N&amp;P Old retention.xlsx]'Coastal N Reductions'!BI94", 0.01)</f>
        <v>0.01</v>
      </c>
      <c r="X142" s="18"/>
      <c r="Y142" s="18"/>
      <c r="Z142" s="42">
        <f>X142-W142</f>
        <v>-0.01</v>
      </c>
      <c r="AA142" s="42">
        <f>Y142-W142</f>
        <v>-0.01</v>
      </c>
      <c r="AB142" s="18"/>
      <c r="AC142" s="18"/>
      <c r="AD142" s="18"/>
      <c r="AE142" s="18"/>
      <c r="AF142" s="18"/>
      <c r="AG142" s="40">
        <f>HYPERLINK("[N&amp;P Old retention.xlsx]'Coastal N Reductions'!BH94", 21.35)</f>
        <v>21.35</v>
      </c>
      <c r="AH142" s="40">
        <f>HYPERLINK("[N&amp;P New retention.xlsx]'Coastal N Reductions'!BH94", 19.26)</f>
        <v>19.260000000000002</v>
      </c>
      <c r="AI142" s="40">
        <f>HYPERLINK("[N&amp;P with New retention and Differentiation.xlsx]'Coastal N Reductions'!BH94", 20.61)</f>
        <v>20.61</v>
      </c>
      <c r="AJ142" s="42">
        <f>AH142-AG142</f>
        <v>-2.09</v>
      </c>
      <c r="AK142" s="42">
        <f>AI142-AG142</f>
        <v>-0.74000000000000199</v>
      </c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</row>
    <row r="143" spans="1:62" x14ac:dyDescent="0.55000000000000004">
      <c r="A143" s="31">
        <v>68</v>
      </c>
      <c r="B143" s="5" t="s">
        <v>179</v>
      </c>
      <c r="C143" s="43">
        <f>HYPERLINK("[N&amp;P Old retention.xlsx]'Coastal N Reductions'!BD95", 159.194)</f>
        <v>159.19399999999999</v>
      </c>
      <c r="D143" s="43">
        <f>HYPERLINK("[N&amp;P New retention.xlsx]'Coastal N Reductions'!BD95", 196.95)</f>
        <v>196.95</v>
      </c>
      <c r="E143" s="43">
        <f>HYPERLINK("[N&amp;P with New retention and Differentiation.xlsx]'Coastal N Reductions'!BD95", 198.16)</f>
        <v>198.16</v>
      </c>
      <c r="F143" s="41">
        <f>D143-C143</f>
        <v>37.756</v>
      </c>
      <c r="G143" s="41">
        <f>E143-C143</f>
        <v>38.966000000000008</v>
      </c>
      <c r="H143" s="43">
        <f>HYPERLINK("[N&amp;P Old retention.xlsx]'Coastal N Reductions'!AV95", 172.244)</f>
        <v>172.244</v>
      </c>
      <c r="I143" s="43">
        <f>HYPERLINK("[N&amp;P New retention.xlsx]'Coastal N Reductions'!AV95", 169.222)</f>
        <v>169.22200000000001</v>
      </c>
      <c r="J143" s="43">
        <f>HYPERLINK("[N&amp;P with New retention and Differentiation.xlsx]'Coastal N Reductions'!AV95", 170.852)</f>
        <v>170.852</v>
      </c>
      <c r="K143" s="42">
        <f>I143-H143</f>
        <v>-3.0219999999999914</v>
      </c>
      <c r="L143" s="42">
        <f>J143-H143</f>
        <v>-1.3919999999999959</v>
      </c>
      <c r="M143" s="43">
        <f>HYPERLINK("[N&amp;P Old retention.xlsx]'Coastal N Reductions'!AX95", 301.588)</f>
        <v>301.58800000000002</v>
      </c>
      <c r="N143" s="43">
        <f>HYPERLINK("[N&amp;P New retention.xlsx]'Coastal N Reductions'!AX95", 422.868)</f>
        <v>422.86799999999999</v>
      </c>
      <c r="O143" s="43">
        <f>HYPERLINK("[N&amp;P with New retention and Differentiation.xlsx]'Coastal N Reductions'!AX95", 463.868)</f>
        <v>463.86799999999999</v>
      </c>
      <c r="P143" s="41">
        <f>N143-M143</f>
        <v>121.27999999999997</v>
      </c>
      <c r="Q143" s="41">
        <f>O143-M143</f>
        <v>162.27999999999997</v>
      </c>
      <c r="R143" s="43">
        <f>HYPERLINK("[N&amp;P Old retention.xlsx]'Coastal N Reductions'!BF95", 0.116)</f>
        <v>0.11600000000000001</v>
      </c>
      <c r="S143" s="13"/>
      <c r="T143" s="13"/>
      <c r="U143" s="42">
        <f>S143-R143</f>
        <v>-0.11600000000000001</v>
      </c>
      <c r="V143" s="42">
        <f>T143-R143</f>
        <v>-0.11600000000000001</v>
      </c>
      <c r="W143" s="43">
        <f>HYPERLINK("[N&amp;P Old retention.xlsx]'Coastal N Reductions'!BI95", 19.15)</f>
        <v>19.149999999999999</v>
      </c>
      <c r="X143" s="43">
        <f>HYPERLINK("[N&amp;P New retention.xlsx]'Coastal N Reductions'!BI95", 18.41)</f>
        <v>18.41</v>
      </c>
      <c r="Y143" s="43">
        <f>HYPERLINK("[N&amp;P with New retention and Differentiation.xlsx]'Coastal N Reductions'!BI95", 18.41)</f>
        <v>18.41</v>
      </c>
      <c r="Z143" s="42">
        <f>X143-W143</f>
        <v>-0.73999999999999844</v>
      </c>
      <c r="AA143" s="42">
        <f>Y143-W143</f>
        <v>-0.73999999999999844</v>
      </c>
      <c r="AB143" s="28">
        <f>HYPERLINK("[N&amp;P Old retention.xlsx]'Coastal N Reductions'!BS95", 1200)</f>
        <v>1200</v>
      </c>
      <c r="AC143" s="28">
        <f>HYPERLINK("[N&amp;P New retention.xlsx]'Coastal N Reductions'!BS95", 100)</f>
        <v>100</v>
      </c>
      <c r="AD143" s="13"/>
      <c r="AE143" s="21">
        <f>AC143-AB143</f>
        <v>-1100</v>
      </c>
      <c r="AF143" s="21">
        <f>AD143-AB143</f>
        <v>-1200</v>
      </c>
      <c r="AG143" s="43">
        <f>HYPERLINK("[N&amp;P Old retention.xlsx]'Coastal N Reductions'!BH95", 10.234)</f>
        <v>10.234</v>
      </c>
      <c r="AH143" s="43">
        <f>HYPERLINK("[N&amp;P New retention.xlsx]'Coastal N Reductions'!BH95", 4.516)</f>
        <v>4.516</v>
      </c>
      <c r="AI143" s="43">
        <f>HYPERLINK("[N&amp;P with New retention and Differentiation.xlsx]'Coastal N Reductions'!BH95", 4.516)</f>
        <v>4.516</v>
      </c>
      <c r="AJ143" s="42">
        <f>AH143-AG143</f>
        <v>-5.718</v>
      </c>
      <c r="AK143" s="42">
        <f>AI143-AG143</f>
        <v>-5.718</v>
      </c>
      <c r="AL143" s="43">
        <f>HYPERLINK("[N&amp;P Old retention.xlsx]'Coastal N Reductions'!AZ95", 128.9328)</f>
        <v>128.93279999999999</v>
      </c>
      <c r="AM143" s="43">
        <f>HYPERLINK("[N&amp;P New retention.xlsx]'Coastal N Reductions'!AZ95", 121.0296)</f>
        <v>121.0296</v>
      </c>
      <c r="AN143" s="43">
        <f>HYPERLINK("[N&amp;P with New retention and Differentiation.xlsx]'Coastal N Reductions'!AZ95", 104.4198)</f>
        <v>104.4198</v>
      </c>
      <c r="AO143" s="42">
        <f>AM143-AL143</f>
        <v>-7.903199999999984</v>
      </c>
      <c r="AP143" s="42">
        <f>AN143-AL143</f>
        <v>-24.512999999999991</v>
      </c>
      <c r="AQ143" s="43">
        <f>HYPERLINK("[N&amp;P Old retention.xlsx]'Coastal N Reductions'!BE95", 2.488)</f>
        <v>2.488</v>
      </c>
      <c r="AR143" s="43">
        <f>HYPERLINK("[N&amp;P New retention.xlsx]'Coastal N Reductions'!BE95", 2.082)</f>
        <v>2.0819999999999999</v>
      </c>
      <c r="AS143" s="43">
        <f>HYPERLINK("[N&amp;P with New retention and Differentiation.xlsx]'Coastal N Reductions'!BE95", 2.082)</f>
        <v>2.0819999999999999</v>
      </c>
      <c r="AT143" s="42">
        <f>AR143-AQ143</f>
        <v>-0.40600000000000014</v>
      </c>
      <c r="AU143" s="42">
        <f>AS143-AQ143</f>
        <v>-0.40600000000000014</v>
      </c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</row>
    <row r="144" spans="1:62" x14ac:dyDescent="0.55000000000000004">
      <c r="A144" s="30">
        <v>72</v>
      </c>
      <c r="B144" s="6" t="s">
        <v>180</v>
      </c>
      <c r="C144" s="40">
        <f>HYPERLINK("[N&amp;P Old retention.xlsx]'Coastal N Reductions'!BD96", 256.888)</f>
        <v>256.88799999999998</v>
      </c>
      <c r="D144" s="40">
        <f>HYPERLINK("[N&amp;P New retention.xlsx]'Coastal N Reductions'!BD96", 234.908)</f>
        <v>234.90799999999999</v>
      </c>
      <c r="E144" s="40">
        <f>HYPERLINK("[N&amp;P with New retention and Differentiation.xlsx]'Coastal N Reductions'!BD96", 234.908)</f>
        <v>234.90799999999999</v>
      </c>
      <c r="F144" s="42">
        <f>D144-C144</f>
        <v>-21.97999999999999</v>
      </c>
      <c r="G144" s="42">
        <f>E144-C144</f>
        <v>-21.97999999999999</v>
      </c>
      <c r="H144" s="40">
        <f>HYPERLINK("[N&amp;P Old retention.xlsx]'Coastal N Reductions'!AV96", 53.58)</f>
        <v>53.58</v>
      </c>
      <c r="I144" s="40">
        <f>HYPERLINK("[N&amp;P New retention.xlsx]'Coastal N Reductions'!AV96", 50.512)</f>
        <v>50.512</v>
      </c>
      <c r="J144" s="40">
        <f>HYPERLINK("[N&amp;P with New retention and Differentiation.xlsx]'Coastal N Reductions'!AV96", 49.852)</f>
        <v>49.851999999999997</v>
      </c>
      <c r="K144" s="42">
        <f>I144-H144</f>
        <v>-3.0679999999999978</v>
      </c>
      <c r="L144" s="42">
        <f>J144-H144</f>
        <v>-3.7280000000000015</v>
      </c>
      <c r="M144" s="40">
        <f>HYPERLINK("[N&amp;P Old retention.xlsx]'Coastal N Reductions'!AX96", 614.026)</f>
        <v>614.02599999999995</v>
      </c>
      <c r="N144" s="40">
        <f>HYPERLINK("[N&amp;P New retention.xlsx]'Coastal N Reductions'!AX96", 532.066)</f>
        <v>532.06600000000003</v>
      </c>
      <c r="O144" s="40">
        <f>HYPERLINK("[N&amp;P with New retention and Differentiation.xlsx]'Coastal N Reductions'!AX96", 534.496)</f>
        <v>534.49599999999998</v>
      </c>
      <c r="P144" s="42">
        <f>N144-M144</f>
        <v>-81.959999999999923</v>
      </c>
      <c r="Q144" s="42">
        <f>O144-M144</f>
        <v>-79.529999999999973</v>
      </c>
      <c r="R144" s="40">
        <f>HYPERLINK("[N&amp;P Old retention.xlsx]'Coastal N Reductions'!BF96", 0.599999999999999)</f>
        <v>0.59999999999999898</v>
      </c>
      <c r="S144" s="40">
        <f>HYPERLINK("[N&amp;P New retention.xlsx]'Coastal N Reductions'!BF96", 0.599999999999999)</f>
        <v>0.59999999999999898</v>
      </c>
      <c r="T144" s="40">
        <f>HYPERLINK("[N&amp;P with New retention and Differentiation.xlsx]'Coastal N Reductions'!BF96", 0.599999999999999)</f>
        <v>0.59999999999999898</v>
      </c>
      <c r="U144" s="18"/>
      <c r="V144" s="18"/>
      <c r="W144" s="18"/>
      <c r="X144" s="18"/>
      <c r="Y144" s="18"/>
      <c r="Z144" s="18"/>
      <c r="AA144" s="18"/>
      <c r="AB144" s="26">
        <f>HYPERLINK("[N&amp;P Old retention.xlsx]'Coastal N Reductions'!BS96", 300)</f>
        <v>300</v>
      </c>
      <c r="AC144" s="26">
        <f>HYPERLINK("[N&amp;P New retention.xlsx]'Coastal N Reductions'!BS96", 1000)</f>
        <v>1000</v>
      </c>
      <c r="AD144" s="26">
        <f>HYPERLINK("[N&amp;P with New retention and Differentiation.xlsx]'Coastal N Reductions'!BS96", 1000)</f>
        <v>1000</v>
      </c>
      <c r="AE144" s="16">
        <f>AC144-AB144</f>
        <v>700</v>
      </c>
      <c r="AF144" s="16">
        <f>AD144-AB144</f>
        <v>700</v>
      </c>
      <c r="AG144" s="40">
        <f>HYPERLINK("[N&amp;P Old retention.xlsx]'Coastal N Reductions'!BH96", 20.1)</f>
        <v>20.100000000000001</v>
      </c>
      <c r="AH144" s="40">
        <f>HYPERLINK("[N&amp;P New retention.xlsx]'Coastal N Reductions'!BH96", 31.8)</f>
        <v>31.8</v>
      </c>
      <c r="AI144" s="40">
        <f>HYPERLINK("[N&amp;P with New retention and Differentiation.xlsx]'Coastal N Reductions'!BH96", 31.8)</f>
        <v>31.8</v>
      </c>
      <c r="AJ144" s="41">
        <f>AH144-AG144</f>
        <v>11.7</v>
      </c>
      <c r="AK144" s="41">
        <f>AI144-AG144</f>
        <v>11.7</v>
      </c>
      <c r="AL144" s="40">
        <f>HYPERLINK("[N&amp;P Old retention.xlsx]'Coastal N Reductions'!AZ96", 40.0998)</f>
        <v>40.099800000000002</v>
      </c>
      <c r="AM144" s="40">
        <f>HYPERLINK("[N&amp;P New retention.xlsx]'Coastal N Reductions'!AZ96", 45.177)</f>
        <v>45.177</v>
      </c>
      <c r="AN144" s="40">
        <f>HYPERLINK("[N&amp;P with New retention and Differentiation.xlsx]'Coastal N Reductions'!AZ96", 44.5938)</f>
        <v>44.593800000000002</v>
      </c>
      <c r="AO144" s="41">
        <f>AM144-AL144</f>
        <v>5.0771999999999977</v>
      </c>
      <c r="AP144" s="41">
        <f>AN144-AL144</f>
        <v>4.4939999999999998</v>
      </c>
      <c r="AQ144" s="40">
        <f>HYPERLINK("[N&amp;P Old retention.xlsx]'Coastal N Reductions'!BE96", 14.05)</f>
        <v>14.05</v>
      </c>
      <c r="AR144" s="40">
        <f>HYPERLINK("[N&amp;P New retention.xlsx]'Coastal N Reductions'!BE96", 15.86)</f>
        <v>15.86</v>
      </c>
      <c r="AS144" s="40">
        <f>HYPERLINK("[N&amp;P with New retention and Differentiation.xlsx]'Coastal N Reductions'!BE96", 15.86)</f>
        <v>15.86</v>
      </c>
      <c r="AT144" s="41">
        <f>AR144-AQ144</f>
        <v>1.8099999999999987</v>
      </c>
      <c r="AU144" s="41">
        <f>AS144-AQ144</f>
        <v>1.8099999999999987</v>
      </c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</row>
    <row r="145" spans="1:62" x14ac:dyDescent="0.55000000000000004">
      <c r="A145" s="31">
        <v>74</v>
      </c>
      <c r="B145" s="5" t="s">
        <v>181</v>
      </c>
      <c r="C145" s="43">
        <f>HYPERLINK("[N&amp;P Old retention.xlsx]'Coastal N Reductions'!BD97", 1401.358)</f>
        <v>1401.3579999999999</v>
      </c>
      <c r="D145" s="43">
        <f>HYPERLINK("[N&amp;P New retention.xlsx]'Coastal N Reductions'!BD97", 1315.188)</f>
        <v>1315.1880000000001</v>
      </c>
      <c r="E145" s="43">
        <f>HYPERLINK("[N&amp;P with New retention and Differentiation.xlsx]'Coastal N Reductions'!BD97", 1308.754)</f>
        <v>1308.7539999999999</v>
      </c>
      <c r="F145" s="42">
        <f>D145-C145</f>
        <v>-86.169999999999845</v>
      </c>
      <c r="G145" s="42">
        <f>E145-C145</f>
        <v>-92.604000000000042</v>
      </c>
      <c r="H145" s="43">
        <f>HYPERLINK("[N&amp;P Old retention.xlsx]'Coastal N Reductions'!AV97", 399.128)</f>
        <v>399.12799999999999</v>
      </c>
      <c r="I145" s="43">
        <f>HYPERLINK("[N&amp;P New retention.xlsx]'Coastal N Reductions'!AV97", 370.678)</f>
        <v>370.678</v>
      </c>
      <c r="J145" s="43">
        <f>HYPERLINK("[N&amp;P with New retention and Differentiation.xlsx]'Coastal N Reductions'!AV97", 372.006)</f>
        <v>372.00599999999997</v>
      </c>
      <c r="K145" s="42">
        <f>I145-H145</f>
        <v>-28.449999999999989</v>
      </c>
      <c r="L145" s="42">
        <f>J145-H145</f>
        <v>-27.122000000000014</v>
      </c>
      <c r="M145" s="43">
        <f>HYPERLINK("[N&amp;P Old retention.xlsx]'Coastal N Reductions'!AX97", 741.486)</f>
        <v>741.48599999999999</v>
      </c>
      <c r="N145" s="43">
        <f>HYPERLINK("[N&amp;P New retention.xlsx]'Coastal N Reductions'!AX97", 826.422)</f>
        <v>826.42200000000003</v>
      </c>
      <c r="O145" s="43">
        <f>HYPERLINK("[N&amp;P with New retention and Differentiation.xlsx]'Coastal N Reductions'!AX97", 834.52)</f>
        <v>834.52</v>
      </c>
      <c r="P145" s="41">
        <f>N145-M145</f>
        <v>84.936000000000035</v>
      </c>
      <c r="Q145" s="41">
        <f>O145-M145</f>
        <v>93.033999999999992</v>
      </c>
      <c r="R145" s="43">
        <f>HYPERLINK("[N&amp;P Old retention.xlsx]'Coastal N Reductions'!BF97", 39.83)</f>
        <v>39.83</v>
      </c>
      <c r="S145" s="43">
        <f>HYPERLINK("[N&amp;P New retention.xlsx]'Coastal N Reductions'!BF97", 41.18)</f>
        <v>41.18</v>
      </c>
      <c r="T145" s="43">
        <f>HYPERLINK("[N&amp;P with New retention and Differentiation.xlsx]'Coastal N Reductions'!BF97", 42.97)</f>
        <v>42.97</v>
      </c>
      <c r="U145" s="41">
        <f>S145-R145</f>
        <v>1.3500000000000014</v>
      </c>
      <c r="V145" s="41">
        <f>T145-R145</f>
        <v>3.1400000000000006</v>
      </c>
      <c r="W145" s="13"/>
      <c r="X145" s="13"/>
      <c r="Y145" s="13"/>
      <c r="Z145" s="13"/>
      <c r="AA145" s="13"/>
      <c r="AB145" s="13"/>
      <c r="AC145" s="28">
        <f>HYPERLINK("[N&amp;P New retention.xlsx]'Coastal N Reductions'!BS97", 2100)</f>
        <v>2100</v>
      </c>
      <c r="AD145" s="28">
        <f>HYPERLINK("[N&amp;P with New retention and Differentiation.xlsx]'Coastal N Reductions'!BS97", 2200)</f>
        <v>2200</v>
      </c>
      <c r="AE145" s="16">
        <f>AC145-AB145</f>
        <v>2100</v>
      </c>
      <c r="AF145" s="16">
        <f>AD145-AB145</f>
        <v>2200</v>
      </c>
      <c r="AG145" s="43">
        <f>HYPERLINK("[N&amp;P Old retention.xlsx]'Coastal N Reductions'!BH97", 27.95)</f>
        <v>27.95</v>
      </c>
      <c r="AH145" s="43">
        <f>HYPERLINK("[N&amp;P New retention.xlsx]'Coastal N Reductions'!BH97", 58.24)</f>
        <v>58.24</v>
      </c>
      <c r="AI145" s="43">
        <f>HYPERLINK("[N&amp;P with New retention and Differentiation.xlsx]'Coastal N Reductions'!BH97", 57.66)</f>
        <v>57.66</v>
      </c>
      <c r="AJ145" s="41">
        <f>AH145-AG145</f>
        <v>30.290000000000003</v>
      </c>
      <c r="AK145" s="41">
        <f>AI145-AG145</f>
        <v>29.709999999999997</v>
      </c>
      <c r="AL145" s="43">
        <f>HYPERLINK("[N&amp;P Old retention.xlsx]'Coastal N Reductions'!AZ97", 206.28)</f>
        <v>206.28</v>
      </c>
      <c r="AM145" s="43">
        <f>HYPERLINK("[N&amp;P New retention.xlsx]'Coastal N Reductions'!AZ97", 169.6572)</f>
        <v>169.65719999999999</v>
      </c>
      <c r="AN145" s="43">
        <f>HYPERLINK("[N&amp;P with New retention and Differentiation.xlsx]'Coastal N Reductions'!AZ97", 169.6572)</f>
        <v>169.65719999999999</v>
      </c>
      <c r="AO145" s="42">
        <f>AM145-AL145</f>
        <v>-36.622800000000012</v>
      </c>
      <c r="AP145" s="42">
        <f>AN145-AL145</f>
        <v>-36.622800000000012</v>
      </c>
      <c r="AQ145" s="43">
        <f>HYPERLINK("[N&amp;P Old retention.xlsx]'Coastal N Reductions'!BE97", 8.508)</f>
        <v>8.5079999999999991</v>
      </c>
      <c r="AR145" s="43">
        <f>HYPERLINK("[N&amp;P New retention.xlsx]'Coastal N Reductions'!BE97", 14.112)</f>
        <v>14.112</v>
      </c>
      <c r="AS145" s="43">
        <f>HYPERLINK("[N&amp;P with New retention and Differentiation.xlsx]'Coastal N Reductions'!BE97", 14.282)</f>
        <v>14.282</v>
      </c>
      <c r="AT145" s="41">
        <f>AR145-AQ145</f>
        <v>5.604000000000001</v>
      </c>
      <c r="AU145" s="41">
        <f>AS145-AQ145</f>
        <v>5.7740000000000009</v>
      </c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</row>
    <row r="146" spans="1:62" x14ac:dyDescent="0.55000000000000004">
      <c r="A146" s="30">
        <v>80</v>
      </c>
      <c r="B146" s="6" t="s">
        <v>182</v>
      </c>
      <c r="C146" s="40">
        <f>HYPERLINK("[N&amp;P Old retention.xlsx]'Coastal N Reductions'!BD98", 1719.808)</f>
        <v>1719.808</v>
      </c>
      <c r="D146" s="40">
        <f>HYPERLINK("[N&amp;P New retention.xlsx]'Coastal N Reductions'!BD98", 2239.156)</f>
        <v>2239.1559999999999</v>
      </c>
      <c r="E146" s="40">
        <f>HYPERLINK("[N&amp;P with New retention and Differentiation.xlsx]'Coastal N Reductions'!BD98", 2215.824)</f>
        <v>2215.8240000000001</v>
      </c>
      <c r="F146" s="41">
        <f>D146-C146</f>
        <v>519.34799999999996</v>
      </c>
      <c r="G146" s="41">
        <f>E146-C146</f>
        <v>496.01600000000008</v>
      </c>
      <c r="H146" s="40">
        <f>HYPERLINK("[N&amp;P Old retention.xlsx]'Coastal N Reductions'!AV98", 186.336)</f>
        <v>186.33600000000001</v>
      </c>
      <c r="I146" s="40">
        <f>HYPERLINK("[N&amp;P New retention.xlsx]'Coastal N Reductions'!AV98", 60.86)</f>
        <v>60.86</v>
      </c>
      <c r="J146" s="40">
        <f>HYPERLINK("[N&amp;P with New retention and Differentiation.xlsx]'Coastal N Reductions'!AV98", 62.954)</f>
        <v>62.954000000000001</v>
      </c>
      <c r="K146" s="42">
        <f>I146-H146</f>
        <v>-125.47600000000001</v>
      </c>
      <c r="L146" s="42">
        <f>J146-H146</f>
        <v>-123.38200000000001</v>
      </c>
      <c r="M146" s="40">
        <f>HYPERLINK("[N&amp;P Old retention.xlsx]'Coastal N Reductions'!AX98", 264.22)</f>
        <v>264.22000000000003</v>
      </c>
      <c r="N146" s="40">
        <f>HYPERLINK("[N&amp;P New retention.xlsx]'Coastal N Reductions'!AX98", 309.39)</f>
        <v>309.39</v>
      </c>
      <c r="O146" s="40">
        <f>HYPERLINK("[N&amp;P with New retention and Differentiation.xlsx]'Coastal N Reductions'!AX98", 301.55)</f>
        <v>301.55</v>
      </c>
      <c r="P146" s="41">
        <f>N146-M146</f>
        <v>45.169999999999959</v>
      </c>
      <c r="Q146" s="41">
        <f>O146-M146</f>
        <v>37.329999999999984</v>
      </c>
      <c r="R146" s="40">
        <f>HYPERLINK("[N&amp;P Old retention.xlsx]'Coastal N Reductions'!BF98", 0.32)</f>
        <v>0.32</v>
      </c>
      <c r="S146" s="40">
        <f>HYPERLINK("[N&amp;P New retention.xlsx]'Coastal N Reductions'!BF98", 15.186)</f>
        <v>15.186</v>
      </c>
      <c r="T146" s="40">
        <f>HYPERLINK("[N&amp;P with New retention and Differentiation.xlsx]'Coastal N Reductions'!BF98", 34.468)</f>
        <v>34.468000000000004</v>
      </c>
      <c r="U146" s="41">
        <f>S146-R146</f>
        <v>14.866</v>
      </c>
      <c r="V146" s="41">
        <f>T146-R146</f>
        <v>34.148000000000003</v>
      </c>
      <c r="W146" s="18"/>
      <c r="X146" s="18"/>
      <c r="Y146" s="18"/>
      <c r="Z146" s="18"/>
      <c r="AA146" s="18"/>
      <c r="AB146" s="26">
        <f>HYPERLINK("[N&amp;P Old retention.xlsx]'Coastal N Reductions'!BS98", 3100)</f>
        <v>3100</v>
      </c>
      <c r="AC146" s="26">
        <f>HYPERLINK("[N&amp;P New retention.xlsx]'Coastal N Reductions'!BS98", 3140)</f>
        <v>3140</v>
      </c>
      <c r="AD146" s="26">
        <f>HYPERLINK("[N&amp;P with New retention and Differentiation.xlsx]'Coastal N Reductions'!BS98", 3140)</f>
        <v>3140</v>
      </c>
      <c r="AE146" s="16">
        <f>AC146-AB146</f>
        <v>40</v>
      </c>
      <c r="AF146" s="16">
        <f>AD146-AB146</f>
        <v>40</v>
      </c>
      <c r="AG146" s="40">
        <f>HYPERLINK("[N&amp;P Old retention.xlsx]'Coastal N Reductions'!BH98", 13.66)</f>
        <v>13.66</v>
      </c>
      <c r="AH146" s="40">
        <f>HYPERLINK("[N&amp;P New retention.xlsx]'Coastal N Reductions'!BH98", 8.66)</f>
        <v>8.66</v>
      </c>
      <c r="AI146" s="40">
        <f>HYPERLINK("[N&amp;P with New retention and Differentiation.xlsx]'Coastal N Reductions'!BH98", 10.16)</f>
        <v>10.16</v>
      </c>
      <c r="AJ146" s="42">
        <f>AH146-AG146</f>
        <v>-5</v>
      </c>
      <c r="AK146" s="42">
        <f>AI146-AG146</f>
        <v>-3.5</v>
      </c>
      <c r="AL146" s="40">
        <f>HYPERLINK("[N&amp;P Old retention.xlsx]'Coastal N Reductions'!AZ98", 21.6822)</f>
        <v>21.682200000000002</v>
      </c>
      <c r="AM146" s="40">
        <f>HYPERLINK("[N&amp;P New retention.xlsx]'Coastal N Reductions'!AZ98", 6.5076)</f>
        <v>6.5076000000000001</v>
      </c>
      <c r="AN146" s="40">
        <f>HYPERLINK("[N&amp;P with New retention and Differentiation.xlsx]'Coastal N Reductions'!AZ98", 6.5076)</f>
        <v>6.5076000000000001</v>
      </c>
      <c r="AO146" s="42">
        <f>AM146-AL146</f>
        <v>-15.174600000000002</v>
      </c>
      <c r="AP146" s="42">
        <f>AN146-AL146</f>
        <v>-15.174600000000002</v>
      </c>
      <c r="AQ146" s="40">
        <f>HYPERLINK("[N&amp;P Old retention.xlsx]'Coastal N Reductions'!BE98", 8.286)</f>
        <v>8.2859999999999996</v>
      </c>
      <c r="AR146" s="40">
        <f>HYPERLINK("[N&amp;P New retention.xlsx]'Coastal N Reductions'!BE98", 9.536)</f>
        <v>9.5359999999999996</v>
      </c>
      <c r="AS146" s="40">
        <f>HYPERLINK("[N&amp;P with New retention and Differentiation.xlsx]'Coastal N Reductions'!BE98", 11.016)</f>
        <v>11.016</v>
      </c>
      <c r="AT146" s="41">
        <f>AR146-AQ146</f>
        <v>1.25</v>
      </c>
      <c r="AU146" s="41">
        <f>AS146-AQ146</f>
        <v>2.7300000000000004</v>
      </c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</row>
    <row r="147" spans="1:62" x14ac:dyDescent="0.55000000000000004">
      <c r="A147" s="31">
        <v>82</v>
      </c>
      <c r="B147" s="5" t="s">
        <v>183</v>
      </c>
      <c r="C147" s="43">
        <f>HYPERLINK("[N&amp;P Old retention.xlsx]'Coastal N Reductions'!BD99", 2422.85)</f>
        <v>2422.85</v>
      </c>
      <c r="D147" s="43">
        <f>HYPERLINK("[N&amp;P New retention.xlsx]'Coastal N Reductions'!BD99", 2496.126)</f>
        <v>2496.1260000000002</v>
      </c>
      <c r="E147" s="43">
        <f>HYPERLINK("[N&amp;P with New retention and Differentiation.xlsx]'Coastal N Reductions'!BD99", 2496.976)</f>
        <v>2496.9760000000001</v>
      </c>
      <c r="F147" s="41">
        <f>D147-C147</f>
        <v>73.276000000000295</v>
      </c>
      <c r="G147" s="41">
        <f>E147-C147</f>
        <v>74.126000000000204</v>
      </c>
      <c r="H147" s="43">
        <f>HYPERLINK("[N&amp;P Old retention.xlsx]'Coastal N Reductions'!AV99", 331.354)</f>
        <v>331.35399999999998</v>
      </c>
      <c r="I147" s="43">
        <f>HYPERLINK("[N&amp;P New retention.xlsx]'Coastal N Reductions'!AV99", 312.572)</f>
        <v>312.572</v>
      </c>
      <c r="J147" s="43">
        <f>HYPERLINK("[N&amp;P with New retention and Differentiation.xlsx]'Coastal N Reductions'!AV99", 314.54)</f>
        <v>314.54000000000002</v>
      </c>
      <c r="K147" s="42">
        <f>I147-H147</f>
        <v>-18.781999999999982</v>
      </c>
      <c r="L147" s="42">
        <f>J147-H147</f>
        <v>-16.813999999999965</v>
      </c>
      <c r="M147" s="43">
        <f>HYPERLINK("[N&amp;P Old retention.xlsx]'Coastal N Reductions'!AX99", 570.628)</f>
        <v>570.62800000000004</v>
      </c>
      <c r="N147" s="43">
        <f>HYPERLINK("[N&amp;P New retention.xlsx]'Coastal N Reductions'!AX99", 572.48)</f>
        <v>572.48</v>
      </c>
      <c r="O147" s="43">
        <f>HYPERLINK("[N&amp;P with New retention and Differentiation.xlsx]'Coastal N Reductions'!AX99", 572.48)</f>
        <v>572.48</v>
      </c>
      <c r="P147" s="41">
        <f>N147-M147</f>
        <v>1.8519999999999754</v>
      </c>
      <c r="Q147" s="41">
        <f>O147-M147</f>
        <v>1.8519999999999754</v>
      </c>
      <c r="R147" s="43">
        <f>HYPERLINK("[N&amp;P Old retention.xlsx]'Coastal N Reductions'!BF99", 4.01)</f>
        <v>4.01</v>
      </c>
      <c r="S147" s="43">
        <f>HYPERLINK("[N&amp;P New retention.xlsx]'Coastal N Reductions'!BF99", 2.91)</f>
        <v>2.91</v>
      </c>
      <c r="T147" s="43">
        <f>HYPERLINK("[N&amp;P with New retention and Differentiation.xlsx]'Coastal N Reductions'!BF99", 2.91)</f>
        <v>2.91</v>
      </c>
      <c r="U147" s="42">
        <f>S147-R147</f>
        <v>-1.0999999999999996</v>
      </c>
      <c r="V147" s="42">
        <f>T147-R147</f>
        <v>-1.0999999999999996</v>
      </c>
      <c r="W147" s="13"/>
      <c r="X147" s="13"/>
      <c r="Y147" s="13"/>
      <c r="Z147" s="13"/>
      <c r="AA147" s="13"/>
      <c r="AB147" s="28">
        <f>HYPERLINK("[N&amp;P Old retention.xlsx]'Coastal N Reductions'!BS99", 3300)</f>
        <v>3300</v>
      </c>
      <c r="AC147" s="28">
        <f>HYPERLINK("[N&amp;P New retention.xlsx]'Coastal N Reductions'!BS99", 3300)</f>
        <v>3300</v>
      </c>
      <c r="AD147" s="28">
        <f>HYPERLINK("[N&amp;P with New retention and Differentiation.xlsx]'Coastal N Reductions'!BS99", 3300)</f>
        <v>3300</v>
      </c>
      <c r="AE147" s="13"/>
      <c r="AF147" s="13"/>
      <c r="AG147" s="43">
        <f>HYPERLINK("[N&amp;P Old retention.xlsx]'Coastal N Reductions'!BH99", 24.584)</f>
        <v>24.584</v>
      </c>
      <c r="AH147" s="43">
        <f>HYPERLINK("[N&amp;P New retention.xlsx]'Coastal N Reductions'!BH99", 24.534)</f>
        <v>24.533999999999999</v>
      </c>
      <c r="AI147" s="43">
        <f>HYPERLINK("[N&amp;P with New retention and Differentiation.xlsx]'Coastal N Reductions'!BH99", 24.094)</f>
        <v>24.094000000000001</v>
      </c>
      <c r="AJ147" s="42">
        <f>AH147-AG147</f>
        <v>-5.0000000000000711E-2</v>
      </c>
      <c r="AK147" s="42">
        <f>AI147-AG147</f>
        <v>-0.48999999999999844</v>
      </c>
      <c r="AL147" s="43">
        <f>HYPERLINK("[N&amp;P Old retention.xlsx]'Coastal N Reductions'!AZ99", 107.5518)</f>
        <v>107.5518</v>
      </c>
      <c r="AM147" s="43">
        <f>HYPERLINK("[N&amp;P New retention.xlsx]'Coastal N Reductions'!AZ99", 118.629)</f>
        <v>118.629</v>
      </c>
      <c r="AN147" s="43">
        <f>HYPERLINK("[N&amp;P with New retention and Differentiation.xlsx]'Coastal N Reductions'!AZ99", 116.598)</f>
        <v>116.598</v>
      </c>
      <c r="AO147" s="41">
        <f>AM147-AL147</f>
        <v>11.077200000000005</v>
      </c>
      <c r="AP147" s="41">
        <f>AN147-AL147</f>
        <v>9.0461999999999989</v>
      </c>
      <c r="AQ147" s="43">
        <f>HYPERLINK("[N&amp;P Old retention.xlsx]'Coastal N Reductions'!BE99", 5.096)</f>
        <v>5.0960000000000001</v>
      </c>
      <c r="AR147" s="43">
        <f>HYPERLINK("[N&amp;P New retention.xlsx]'Coastal N Reductions'!BE99", 4.766)</f>
        <v>4.766</v>
      </c>
      <c r="AS147" s="43">
        <f>HYPERLINK("[N&amp;P with New retention and Differentiation.xlsx]'Coastal N Reductions'!BE99", 4.766)</f>
        <v>4.766</v>
      </c>
      <c r="AT147" s="42">
        <f>AR147-AQ147</f>
        <v>-0.33000000000000007</v>
      </c>
      <c r="AU147" s="42">
        <f>AS147-AQ147</f>
        <v>-0.33000000000000007</v>
      </c>
      <c r="AV147" s="13"/>
      <c r="AW147" s="13"/>
      <c r="AX147" s="43">
        <f>HYPERLINK("[N&amp;P with New retention and Differentiation.xlsx]'Coastal N Reductions'!BC99", 1.43)</f>
        <v>1.43</v>
      </c>
      <c r="AY147" s="13"/>
      <c r="AZ147" s="41">
        <f>AX147-AV147</f>
        <v>1.43</v>
      </c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</row>
    <row r="148" spans="1:62" x14ac:dyDescent="0.55000000000000004">
      <c r="A148" s="30">
        <v>83</v>
      </c>
      <c r="B148" s="6" t="s">
        <v>184</v>
      </c>
      <c r="C148" s="40">
        <f>HYPERLINK("[N&amp;P Old retention.xlsx]'Coastal N Reductions'!BD100", 2632.052)</f>
        <v>2632.0520000000001</v>
      </c>
      <c r="D148" s="40">
        <f>HYPERLINK("[N&amp;P New retention.xlsx]'Coastal N Reductions'!BD100", 2534.674)</f>
        <v>2534.674</v>
      </c>
      <c r="E148" s="40">
        <f>HYPERLINK("[N&amp;P with New retention and Differentiation.xlsx]'Coastal N Reductions'!BD100", 2514.714)</f>
        <v>2514.7139999999999</v>
      </c>
      <c r="F148" s="42">
        <f>D148-C148</f>
        <v>-97.378000000000156</v>
      </c>
      <c r="G148" s="42">
        <f>E148-C148</f>
        <v>-117.33800000000019</v>
      </c>
      <c r="H148" s="40">
        <f>HYPERLINK("[N&amp;P Old retention.xlsx]'Coastal N Reductions'!AV100", 1067.192)</f>
        <v>1067.192</v>
      </c>
      <c r="I148" s="40">
        <f>HYPERLINK("[N&amp;P New retention.xlsx]'Coastal N Reductions'!AV100", 1096.41)</f>
        <v>1096.4100000000001</v>
      </c>
      <c r="J148" s="40">
        <f>HYPERLINK("[N&amp;P with New retention and Differentiation.xlsx]'Coastal N Reductions'!AV100", 1106.148)</f>
        <v>1106.1479999999999</v>
      </c>
      <c r="K148" s="41">
        <f>I148-H148</f>
        <v>29.218000000000075</v>
      </c>
      <c r="L148" s="41">
        <f>J148-H148</f>
        <v>38.955999999999904</v>
      </c>
      <c r="M148" s="40">
        <f>HYPERLINK("[N&amp;P Old retention.xlsx]'Coastal N Reductions'!AX100", 1636.496)</f>
        <v>1636.4960000000001</v>
      </c>
      <c r="N148" s="40">
        <f>HYPERLINK("[N&amp;P New retention.xlsx]'Coastal N Reductions'!AX100", 1837.864)</f>
        <v>1837.864</v>
      </c>
      <c r="O148" s="40">
        <f>HYPERLINK("[N&amp;P with New retention and Differentiation.xlsx]'Coastal N Reductions'!AX100", 1823.324)</f>
        <v>1823.3240000000001</v>
      </c>
      <c r="P148" s="41">
        <f>N148-M148</f>
        <v>201.36799999999994</v>
      </c>
      <c r="Q148" s="41">
        <f>O148-M148</f>
        <v>186.82799999999997</v>
      </c>
      <c r="R148" s="40">
        <f>HYPERLINK("[N&amp;P Old retention.xlsx]'Coastal N Reductions'!BF100", 388.998)</f>
        <v>388.99799999999999</v>
      </c>
      <c r="S148" s="40">
        <f>HYPERLINK("[N&amp;P New retention.xlsx]'Coastal N Reductions'!BF100", 421.718)</f>
        <v>421.71800000000002</v>
      </c>
      <c r="T148" s="40">
        <f>HYPERLINK("[N&amp;P with New retention and Differentiation.xlsx]'Coastal N Reductions'!BF100", 420.928)</f>
        <v>420.928</v>
      </c>
      <c r="U148" s="41">
        <f>S148-R148</f>
        <v>32.720000000000027</v>
      </c>
      <c r="V148" s="41">
        <f>T148-R148</f>
        <v>31.930000000000007</v>
      </c>
      <c r="W148" s="40">
        <f>HYPERLINK("[N&amp;P Old retention.xlsx]'Coastal N Reductions'!BI100", 20.838)</f>
        <v>20.838000000000001</v>
      </c>
      <c r="X148" s="40">
        <f>HYPERLINK("[N&amp;P New retention.xlsx]'Coastal N Reductions'!BI100", 20.988)</f>
        <v>20.988</v>
      </c>
      <c r="Y148" s="40">
        <f>HYPERLINK("[N&amp;P with New retention and Differentiation.xlsx]'Coastal N Reductions'!BI100", 20.988)</f>
        <v>20.988</v>
      </c>
      <c r="Z148" s="41">
        <f>X148-W148</f>
        <v>0.14999999999999858</v>
      </c>
      <c r="AA148" s="41">
        <f>Y148-W148</f>
        <v>0.14999999999999858</v>
      </c>
      <c r="AB148" s="26">
        <f>HYPERLINK("[N&amp;P Old retention.xlsx]'Coastal N Reductions'!BS100", 1420)</f>
        <v>1420</v>
      </c>
      <c r="AC148" s="26">
        <f>HYPERLINK("[N&amp;P New retention.xlsx]'Coastal N Reductions'!BS100", 1520)</f>
        <v>1520</v>
      </c>
      <c r="AD148" s="26">
        <f>HYPERLINK("[N&amp;P with New retention and Differentiation.xlsx]'Coastal N Reductions'!BS100", 1520)</f>
        <v>1520</v>
      </c>
      <c r="AE148" s="16">
        <f>AC148-AB148</f>
        <v>100</v>
      </c>
      <c r="AF148" s="16">
        <f>AD148-AB148</f>
        <v>100</v>
      </c>
      <c r="AG148" s="40">
        <f>HYPERLINK("[N&amp;P Old retention.xlsx]'Coastal N Reductions'!BH100", 45.03)</f>
        <v>45.03</v>
      </c>
      <c r="AH148" s="40">
        <f>HYPERLINK("[N&amp;P New retention.xlsx]'Coastal N Reductions'!BH100", 50.13)</f>
        <v>50.13</v>
      </c>
      <c r="AI148" s="40">
        <f>HYPERLINK("[N&amp;P with New retention and Differentiation.xlsx]'Coastal N Reductions'!BH100", 50.148)</f>
        <v>50.148000000000003</v>
      </c>
      <c r="AJ148" s="41">
        <f>AH148-AG148</f>
        <v>5.1000000000000014</v>
      </c>
      <c r="AK148" s="41">
        <f>AI148-AG148</f>
        <v>5.1180000000000021</v>
      </c>
      <c r="AL148" s="40">
        <f>HYPERLINK("[N&amp;P Old retention.xlsx]'Coastal N Reductions'!AZ100", 342.072)</f>
        <v>342.072</v>
      </c>
      <c r="AM148" s="40">
        <f>HYPERLINK("[N&amp;P New retention.xlsx]'Coastal N Reductions'!AZ100", 292.8384)</f>
        <v>292.83839999999998</v>
      </c>
      <c r="AN148" s="40">
        <f>HYPERLINK("[N&amp;P with New retention and Differentiation.xlsx]'Coastal N Reductions'!AZ100", 295.2174)</f>
        <v>295.2174</v>
      </c>
      <c r="AO148" s="42">
        <f>AM148-AL148</f>
        <v>-49.233600000000024</v>
      </c>
      <c r="AP148" s="42">
        <f>AN148-AL148</f>
        <v>-46.854600000000005</v>
      </c>
      <c r="AQ148" s="40">
        <f>HYPERLINK("[N&amp;P Old retention.xlsx]'Coastal N Reductions'!BE100", 1.818)</f>
        <v>1.8180000000000001</v>
      </c>
      <c r="AR148" s="40">
        <f>HYPERLINK("[N&amp;P New retention.xlsx]'Coastal N Reductions'!BE100", 0.848)</f>
        <v>0.84799999999999998</v>
      </c>
      <c r="AS148" s="40">
        <f>HYPERLINK("[N&amp;P with New retention and Differentiation.xlsx]'Coastal N Reductions'!BE100", 0.848)</f>
        <v>0.84799999999999998</v>
      </c>
      <c r="AT148" s="42">
        <f>AR148-AQ148</f>
        <v>-0.97000000000000008</v>
      </c>
      <c r="AU148" s="42">
        <f>AS148-AQ148</f>
        <v>-0.97000000000000008</v>
      </c>
      <c r="AV148" s="18"/>
      <c r="AW148" s="18"/>
      <c r="AX148" s="18"/>
      <c r="AY148" s="18"/>
      <c r="AZ148" s="18"/>
      <c r="BA148" s="40">
        <f>HYPERLINK("[N&amp;P Old retention.xlsx]'Coastal N Reductions'!BP100", 0.36)</f>
        <v>0.36</v>
      </c>
      <c r="BB148" s="40">
        <f>HYPERLINK("[N&amp;P New retention.xlsx]'Coastal N Reductions'!BP100", 12.966)</f>
        <v>12.965999999999999</v>
      </c>
      <c r="BC148" s="40">
        <f>HYPERLINK("[N&amp;P with New retention and Differentiation.xlsx]'Coastal N Reductions'!BP100", 0.514)</f>
        <v>0.51400000000000001</v>
      </c>
      <c r="BD148" s="41">
        <f>BB148-BA148</f>
        <v>12.606</v>
      </c>
      <c r="BE148" s="41">
        <f>BC148-BA148</f>
        <v>0.15400000000000003</v>
      </c>
      <c r="BF148" s="18"/>
      <c r="BG148" s="18"/>
      <c r="BH148" s="18"/>
      <c r="BI148" s="18"/>
      <c r="BJ148" s="18"/>
    </row>
    <row r="149" spans="1:62" x14ac:dyDescent="0.55000000000000004">
      <c r="A149" s="31">
        <v>84</v>
      </c>
      <c r="B149" s="5" t="s">
        <v>185</v>
      </c>
      <c r="C149" s="43">
        <f>HYPERLINK("[N&amp;P Old retention.xlsx]'Coastal N Reductions'!BD101", 0.45)</f>
        <v>0.45</v>
      </c>
      <c r="D149" s="43">
        <f>HYPERLINK("[N&amp;P New retention.xlsx]'Coastal N Reductions'!BD101", 15.04)</f>
        <v>15.04</v>
      </c>
      <c r="E149" s="43">
        <f>HYPERLINK("[N&amp;P with New retention and Differentiation.xlsx]'Coastal N Reductions'!BD101", 15.04)</f>
        <v>15.04</v>
      </c>
      <c r="F149" s="41">
        <f>D149-C149</f>
        <v>14.59</v>
      </c>
      <c r="G149" s="41">
        <f>E149-C149</f>
        <v>14.59</v>
      </c>
      <c r="H149" s="43">
        <f>HYPERLINK("[N&amp;P Old retention.xlsx]'Coastal N Reductions'!AV101", 143.626)</f>
        <v>143.626</v>
      </c>
      <c r="I149" s="43">
        <f>HYPERLINK("[N&amp;P New retention.xlsx]'Coastal N Reductions'!AV101", 135.8)</f>
        <v>135.80000000000001</v>
      </c>
      <c r="J149" s="43">
        <f>HYPERLINK("[N&amp;P with New retention and Differentiation.xlsx]'Coastal N Reductions'!AV101", 135.8)</f>
        <v>135.80000000000001</v>
      </c>
      <c r="K149" s="42">
        <f>I149-H149</f>
        <v>-7.8259999999999934</v>
      </c>
      <c r="L149" s="42">
        <f>J149-H149</f>
        <v>-7.8259999999999934</v>
      </c>
      <c r="M149" s="43">
        <f>HYPERLINK("[N&amp;P Old retention.xlsx]'Coastal N Reductions'!AX101", 425.454)</f>
        <v>425.45400000000001</v>
      </c>
      <c r="N149" s="43">
        <f>HYPERLINK("[N&amp;P New retention.xlsx]'Coastal N Reductions'!AX101", 414.014)</f>
        <v>414.01400000000001</v>
      </c>
      <c r="O149" s="43">
        <f>HYPERLINK("[N&amp;P with New retention and Differentiation.xlsx]'Coastal N Reductions'!AX101", 414.014)</f>
        <v>414.01400000000001</v>
      </c>
      <c r="P149" s="42">
        <f>N149-M149</f>
        <v>-11.439999999999998</v>
      </c>
      <c r="Q149" s="42">
        <f>O149-M149</f>
        <v>-11.439999999999998</v>
      </c>
      <c r="R149" s="13"/>
      <c r="S149" s="13"/>
      <c r="T149" s="13"/>
      <c r="U149" s="13"/>
      <c r="V149" s="13"/>
      <c r="W149" s="43">
        <f>HYPERLINK("[N&amp;P Old retention.xlsx]'Coastal N Reductions'!BI101", 0.22)</f>
        <v>0.22</v>
      </c>
      <c r="X149" s="43">
        <f>HYPERLINK("[N&amp;P New retention.xlsx]'Coastal N Reductions'!BI101", 0.22)</f>
        <v>0.22</v>
      </c>
      <c r="Y149" s="43">
        <f>HYPERLINK("[N&amp;P with New retention and Differentiation.xlsx]'Coastal N Reductions'!BI101", 0.22)</f>
        <v>0.22</v>
      </c>
      <c r="Z149" s="13"/>
      <c r="AA149" s="13"/>
      <c r="AB149" s="28">
        <f>HYPERLINK("[N&amp;P Old retention.xlsx]'Coastal N Reductions'!BS101", 400)</f>
        <v>400</v>
      </c>
      <c r="AC149" s="28">
        <f>HYPERLINK("[N&amp;P New retention.xlsx]'Coastal N Reductions'!BS101", 300)</f>
        <v>300</v>
      </c>
      <c r="AD149" s="28">
        <f>HYPERLINK("[N&amp;P with New retention and Differentiation.xlsx]'Coastal N Reductions'!BS101", 300)</f>
        <v>300</v>
      </c>
      <c r="AE149" s="21">
        <f>AC149-AB149</f>
        <v>-100</v>
      </c>
      <c r="AF149" s="21">
        <f>AD149-AB149</f>
        <v>-100</v>
      </c>
      <c r="AG149" s="13"/>
      <c r="AH149" s="13"/>
      <c r="AI149" s="13"/>
      <c r="AJ149" s="13"/>
      <c r="AK149" s="13"/>
      <c r="AL149" s="43">
        <f>HYPERLINK("[N&amp;P Old retention.xlsx]'Coastal N Reductions'!AZ101", 31.5)</f>
        <v>31.5</v>
      </c>
      <c r="AM149" s="43">
        <f>HYPERLINK("[N&amp;P New retention.xlsx]'Coastal N Reductions'!AZ101", 36.2166)</f>
        <v>36.2166</v>
      </c>
      <c r="AN149" s="43">
        <f>HYPERLINK("[N&amp;P with New retention and Differentiation.xlsx]'Coastal N Reductions'!AZ101", 36.2166)</f>
        <v>36.2166</v>
      </c>
      <c r="AO149" s="41">
        <f>AM149-AL149</f>
        <v>4.7165999999999997</v>
      </c>
      <c r="AP149" s="41">
        <f>AN149-AL149</f>
        <v>4.7165999999999997</v>
      </c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</row>
    <row r="150" spans="1:62" x14ac:dyDescent="0.55000000000000004">
      <c r="A150" s="30">
        <v>85</v>
      </c>
      <c r="B150" s="6" t="s">
        <v>186</v>
      </c>
      <c r="C150" s="40">
        <f>HYPERLINK("[N&amp;P Old retention.xlsx]'Coastal N Reductions'!BD102", 253.014)</f>
        <v>253.01400000000001</v>
      </c>
      <c r="D150" s="40">
        <f>HYPERLINK("[N&amp;P New retention.xlsx]'Coastal N Reductions'!BD102", 264.764)</f>
        <v>264.76400000000001</v>
      </c>
      <c r="E150" s="40">
        <f>HYPERLINK("[N&amp;P with New retention and Differentiation.xlsx]'Coastal N Reductions'!BD102", 266.794)</f>
        <v>266.79399999999998</v>
      </c>
      <c r="F150" s="41">
        <f>D150-C150</f>
        <v>11.75</v>
      </c>
      <c r="G150" s="41">
        <f>E150-C150</f>
        <v>13.779999999999973</v>
      </c>
      <c r="H150" s="40">
        <f>HYPERLINK("[N&amp;P Old retention.xlsx]'Coastal N Reductions'!AV102", 94.3)</f>
        <v>94.3</v>
      </c>
      <c r="I150" s="40">
        <f>HYPERLINK("[N&amp;P New retention.xlsx]'Coastal N Reductions'!AV102", 88.36)</f>
        <v>88.36</v>
      </c>
      <c r="J150" s="40">
        <f>HYPERLINK("[N&amp;P with New retention and Differentiation.xlsx]'Coastal N Reductions'!AV102", 88.36)</f>
        <v>88.36</v>
      </c>
      <c r="K150" s="42">
        <f>I150-H150</f>
        <v>-5.9399999999999977</v>
      </c>
      <c r="L150" s="42">
        <f>J150-H150</f>
        <v>-5.9399999999999977</v>
      </c>
      <c r="M150" s="40">
        <f>HYPERLINK("[N&amp;P Old retention.xlsx]'Coastal N Reductions'!AX102", 140.802)</f>
        <v>140.80199999999999</v>
      </c>
      <c r="N150" s="40">
        <f>HYPERLINK("[N&amp;P New retention.xlsx]'Coastal N Reductions'!AX102", 140.352)</f>
        <v>140.352</v>
      </c>
      <c r="O150" s="40">
        <f>HYPERLINK("[N&amp;P with New retention and Differentiation.xlsx]'Coastal N Reductions'!AX102", 141.002)</f>
        <v>141.00200000000001</v>
      </c>
      <c r="P150" s="42">
        <f>N150-M150</f>
        <v>-0.44999999999998863</v>
      </c>
      <c r="Q150" s="41">
        <f>O150-M150</f>
        <v>0.20000000000001705</v>
      </c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40">
        <f>HYPERLINK("[N&amp;P Old retention.xlsx]'Coastal N Reductions'!BH102", 1.02)</f>
        <v>1.02</v>
      </c>
      <c r="AH150" s="40">
        <f>HYPERLINK("[N&amp;P New retention.xlsx]'Coastal N Reductions'!BH102", 1.02)</f>
        <v>1.02</v>
      </c>
      <c r="AI150" s="40">
        <f>HYPERLINK("[N&amp;P with New retention and Differentiation.xlsx]'Coastal N Reductions'!BH102", 1.02)</f>
        <v>1.02</v>
      </c>
      <c r="AJ150" s="18"/>
      <c r="AK150" s="18"/>
      <c r="AL150" s="40">
        <f>HYPERLINK("[N&amp;P Old retention.xlsx]'Coastal N Reductions'!AZ102", 43.797)</f>
        <v>43.796999999999997</v>
      </c>
      <c r="AM150" s="40">
        <f>HYPERLINK("[N&amp;P New retention.xlsx]'Coastal N Reductions'!AZ102", 46.3086)</f>
        <v>46.308599999999998</v>
      </c>
      <c r="AN150" s="40">
        <f>HYPERLINK("[N&amp;P with New retention and Differentiation.xlsx]'Coastal N Reductions'!AZ102", 45.5718)</f>
        <v>45.571800000000003</v>
      </c>
      <c r="AO150" s="41">
        <f>AM150-AL150</f>
        <v>2.5116000000000014</v>
      </c>
      <c r="AP150" s="41">
        <f>AN150-AL150</f>
        <v>1.7748000000000062</v>
      </c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</row>
    <row r="151" spans="1:62" x14ac:dyDescent="0.55000000000000004">
      <c r="A151" s="31">
        <v>86</v>
      </c>
      <c r="B151" s="5" t="s">
        <v>187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43">
        <f>HYPERLINK("[N&amp;P Old retention.xlsx]'Coastal N Reductions'!BF103", 49.392)</f>
        <v>49.392000000000003</v>
      </c>
      <c r="S151" s="43">
        <f>HYPERLINK("[N&amp;P New retention.xlsx]'Coastal N Reductions'!BF103", 49.392)</f>
        <v>49.392000000000003</v>
      </c>
      <c r="T151" s="43">
        <f>HYPERLINK("[N&amp;P with New retention and Differentiation.xlsx]'Coastal N Reductions'!BF103", 49.392)</f>
        <v>49.392000000000003</v>
      </c>
      <c r="U151" s="13"/>
      <c r="V151" s="13"/>
      <c r="W151" s="13"/>
      <c r="X151" s="13"/>
      <c r="Y151" s="13"/>
      <c r="Z151" s="13"/>
      <c r="AA151" s="13"/>
      <c r="AB151" s="28">
        <f>HYPERLINK("[N&amp;P Old retention.xlsx]'Coastal N Reductions'!BS103", 60)</f>
        <v>60</v>
      </c>
      <c r="AC151" s="28">
        <f>HYPERLINK("[N&amp;P New retention.xlsx]'Coastal N Reductions'!BS103", 60)</f>
        <v>60</v>
      </c>
      <c r="AD151" s="28">
        <f>HYPERLINK("[N&amp;P with New retention and Differentiation.xlsx]'Coastal N Reductions'!BS103", 60)</f>
        <v>60</v>
      </c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43">
        <f>HYPERLINK("[N&amp;P New retention.xlsx]'Coastal N Reductions'!BP103", 6)</f>
        <v>6</v>
      </c>
      <c r="BC151" s="43">
        <f>HYPERLINK("[N&amp;P with New retention and Differentiation.xlsx]'Coastal N Reductions'!BP103", 6)</f>
        <v>6</v>
      </c>
      <c r="BD151" s="41">
        <f>BB151-BA151</f>
        <v>6</v>
      </c>
      <c r="BE151" s="41">
        <f>BC151-BA151</f>
        <v>6</v>
      </c>
      <c r="BF151" s="13"/>
      <c r="BG151" s="13"/>
      <c r="BH151" s="13"/>
      <c r="BI151" s="13"/>
      <c r="BJ151" s="13"/>
    </row>
    <row r="152" spans="1:62" x14ac:dyDescent="0.55000000000000004">
      <c r="A152" s="30">
        <v>87</v>
      </c>
      <c r="B152" s="6" t="s">
        <v>188</v>
      </c>
      <c r="C152" s="40">
        <f>HYPERLINK("[N&amp;P Old retention.xlsx]'Coastal N Reductions'!BD104", 1730.39144)</f>
        <v>1730.3914400000001</v>
      </c>
      <c r="D152" s="40">
        <f>HYPERLINK("[N&amp;P New retention.xlsx]'Coastal N Reductions'!BD104", 1747.43744)</f>
        <v>1747.4374399999999</v>
      </c>
      <c r="E152" s="40">
        <f>HYPERLINK("[N&amp;P with New retention and Differentiation.xlsx]'Coastal N Reductions'!BD104", 1747.43744)</f>
        <v>1747.4374399999999</v>
      </c>
      <c r="F152" s="41">
        <f>D152-C152</f>
        <v>17.045999999999822</v>
      </c>
      <c r="G152" s="41">
        <f>E152-C152</f>
        <v>17.045999999999822</v>
      </c>
      <c r="H152" s="40">
        <f>HYPERLINK("[N&amp;P Old retention.xlsx]'Coastal N Reductions'!AV104", 749.122)</f>
        <v>749.12199999999996</v>
      </c>
      <c r="I152" s="40">
        <f>HYPERLINK("[N&amp;P New retention.xlsx]'Coastal N Reductions'!AV104", 506.17)</f>
        <v>506.17</v>
      </c>
      <c r="J152" s="40">
        <f>HYPERLINK("[N&amp;P with New retention and Differentiation.xlsx]'Coastal N Reductions'!AV104", 505.802)</f>
        <v>505.80200000000002</v>
      </c>
      <c r="K152" s="42">
        <f>I152-H152</f>
        <v>-242.95199999999994</v>
      </c>
      <c r="L152" s="42">
        <f>J152-H152</f>
        <v>-243.31999999999994</v>
      </c>
      <c r="M152" s="40">
        <f>HYPERLINK("[N&amp;P Old retention.xlsx]'Coastal N Reductions'!AX104", 36.86)</f>
        <v>36.86</v>
      </c>
      <c r="N152" s="40">
        <f>HYPERLINK("[N&amp;P New retention.xlsx]'Coastal N Reductions'!AX104", 22.728)</f>
        <v>22.728000000000002</v>
      </c>
      <c r="O152" s="40">
        <f>HYPERLINK("[N&amp;P with New retention and Differentiation.xlsx]'Coastal N Reductions'!AX104", 22.728)</f>
        <v>22.728000000000002</v>
      </c>
      <c r="P152" s="42">
        <f>N152-M152</f>
        <v>-14.131999999999998</v>
      </c>
      <c r="Q152" s="42">
        <f>O152-M152</f>
        <v>-14.131999999999998</v>
      </c>
      <c r="R152" s="40">
        <f>HYPERLINK("[N&amp;P Old retention.xlsx]'Coastal N Reductions'!BF104", 2.584)</f>
        <v>2.5840000000000001</v>
      </c>
      <c r="S152" s="40">
        <f>HYPERLINK("[N&amp;P New retention.xlsx]'Coastal N Reductions'!BF104", 2.584)</f>
        <v>2.5840000000000001</v>
      </c>
      <c r="T152" s="40">
        <f>HYPERLINK("[N&amp;P with New retention and Differentiation.xlsx]'Coastal N Reductions'!BF104", 2.584)</f>
        <v>2.5840000000000001</v>
      </c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40">
        <f>HYPERLINK("[N&amp;P Old retention.xlsx]'Coastal N Reductions'!BH104", 17.438)</f>
        <v>17.437999999999999</v>
      </c>
      <c r="AH152" s="40">
        <f>HYPERLINK("[N&amp;P New retention.xlsx]'Coastal N Reductions'!BH104", 16.234)</f>
        <v>16.234000000000002</v>
      </c>
      <c r="AI152" s="40">
        <f>HYPERLINK("[N&amp;P with New retention and Differentiation.xlsx]'Coastal N Reductions'!BH104", 16.234)</f>
        <v>16.234000000000002</v>
      </c>
      <c r="AJ152" s="42">
        <f>AH152-AG152</f>
        <v>-1.2039999999999971</v>
      </c>
      <c r="AK152" s="42">
        <f>AI152-AG152</f>
        <v>-1.2039999999999971</v>
      </c>
      <c r="AL152" s="40">
        <f>HYPERLINK("[N&amp;P Old retention.xlsx]'Coastal N Reductions'!AZ104", 206.448)</f>
        <v>206.44800000000001</v>
      </c>
      <c r="AM152" s="40">
        <f>HYPERLINK("[N&amp;P New retention.xlsx]'Coastal N Reductions'!AZ104", 132.2004)</f>
        <v>132.2004</v>
      </c>
      <c r="AN152" s="40">
        <f>HYPERLINK("[N&amp;P with New retention and Differentiation.xlsx]'Coastal N Reductions'!AZ104", 132.2004)</f>
        <v>132.2004</v>
      </c>
      <c r="AO152" s="42">
        <f>AM152-AL152</f>
        <v>-74.247600000000006</v>
      </c>
      <c r="AP152" s="42">
        <f>AN152-AL152</f>
        <v>-74.247600000000006</v>
      </c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</row>
    <row r="153" spans="1:62" x14ac:dyDescent="0.55000000000000004">
      <c r="A153" s="31">
        <v>89</v>
      </c>
      <c r="B153" s="5" t="s">
        <v>189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</row>
    <row r="154" spans="1:62" x14ac:dyDescent="0.55000000000000004">
      <c r="A154" s="30">
        <v>90</v>
      </c>
      <c r="B154" s="6" t="s">
        <v>190</v>
      </c>
      <c r="C154" s="40">
        <f>HYPERLINK("[N&amp;P Old retention.xlsx]'Coastal N Reductions'!BD106", 9.01)</f>
        <v>9.01</v>
      </c>
      <c r="D154" s="40">
        <f>HYPERLINK("[N&amp;P New retention.xlsx]'Coastal N Reductions'!BD106", 9.01)</f>
        <v>9.01</v>
      </c>
      <c r="E154" s="40">
        <f>HYPERLINK("[N&amp;P with New retention and Differentiation.xlsx]'Coastal N Reductions'!BD106", 9.01)</f>
        <v>9.01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</row>
    <row r="155" spans="1:62" x14ac:dyDescent="0.55000000000000004">
      <c r="A155" s="31">
        <v>92</v>
      </c>
      <c r="B155" s="5" t="s">
        <v>191</v>
      </c>
      <c r="C155" s="43">
        <f>HYPERLINK("[N&amp;P Old retention.xlsx]'Coastal N Reductions'!BD107", 457.82)</f>
        <v>457.82</v>
      </c>
      <c r="D155" s="43">
        <f>HYPERLINK("[N&amp;P New retention.xlsx]'Coastal N Reductions'!BD107", 336.23)</f>
        <v>336.23</v>
      </c>
      <c r="E155" s="43">
        <f>HYPERLINK("[N&amp;P with New retention and Differentiation.xlsx]'Coastal N Reductions'!BD107", 336.45)</f>
        <v>336.45</v>
      </c>
      <c r="F155" s="42">
        <f>D155-C155</f>
        <v>-121.58999999999997</v>
      </c>
      <c r="G155" s="42">
        <f>E155-C155</f>
        <v>-121.37</v>
      </c>
      <c r="H155" s="43">
        <f>HYPERLINK("[N&amp;P Old retention.xlsx]'Coastal N Reductions'!AV107", 90.166)</f>
        <v>90.165999999999997</v>
      </c>
      <c r="I155" s="43">
        <f>HYPERLINK("[N&amp;P New retention.xlsx]'Coastal N Reductions'!AV107", 78.284)</f>
        <v>78.284000000000006</v>
      </c>
      <c r="J155" s="43">
        <f>HYPERLINK("[N&amp;P with New retention and Differentiation.xlsx]'Coastal N Reductions'!AV107", 77.89)</f>
        <v>77.89</v>
      </c>
      <c r="K155" s="42">
        <f>I155-H155</f>
        <v>-11.881999999999991</v>
      </c>
      <c r="L155" s="42">
        <f>J155-H155</f>
        <v>-12.275999999999996</v>
      </c>
      <c r="M155" s="43">
        <f>HYPERLINK("[N&amp;P Old retention.xlsx]'Coastal N Reductions'!AX107", 18.114)</f>
        <v>18.114000000000001</v>
      </c>
      <c r="N155" s="43">
        <f>HYPERLINK("[N&amp;P New retention.xlsx]'Coastal N Reductions'!AX107", 3.506)</f>
        <v>3.5059999999999998</v>
      </c>
      <c r="O155" s="43">
        <f>HYPERLINK("[N&amp;P with New retention and Differentiation.xlsx]'Coastal N Reductions'!AX107", 3.506)</f>
        <v>3.5059999999999998</v>
      </c>
      <c r="P155" s="42">
        <f>N155-M155</f>
        <v>-14.608000000000001</v>
      </c>
      <c r="Q155" s="42">
        <f>O155-M155</f>
        <v>-14.608000000000001</v>
      </c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43">
        <f>HYPERLINK("[N&amp;P Old retention.xlsx]'Coastal N Reductions'!BH107", 36.534)</f>
        <v>36.533999999999999</v>
      </c>
      <c r="AH155" s="43">
        <f>HYPERLINK("[N&amp;P New retention.xlsx]'Coastal N Reductions'!BH107", 19.93)</f>
        <v>19.93</v>
      </c>
      <c r="AI155" s="43">
        <f>HYPERLINK("[N&amp;P with New retention and Differentiation.xlsx]'Coastal N Reductions'!BH107", 18.97)</f>
        <v>18.97</v>
      </c>
      <c r="AJ155" s="42">
        <f>AH155-AG155</f>
        <v>-16.603999999999999</v>
      </c>
      <c r="AK155" s="42">
        <f>AI155-AG155</f>
        <v>-17.564</v>
      </c>
      <c r="AL155" s="43">
        <f>HYPERLINK("[N&amp;P Old retention.xlsx]'Coastal N Reductions'!AZ107", 2.5416)</f>
        <v>2.5415999999999999</v>
      </c>
      <c r="AM155" s="13"/>
      <c r="AN155" s="13"/>
      <c r="AO155" s="42">
        <f>AM155-AL155</f>
        <v>-2.5415999999999999</v>
      </c>
      <c r="AP155" s="42">
        <f>AN155-AL155</f>
        <v>-2.5415999999999999</v>
      </c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</row>
    <row r="156" spans="1:62" x14ac:dyDescent="0.55000000000000004">
      <c r="A156" s="30">
        <v>93</v>
      </c>
      <c r="B156" s="6" t="s">
        <v>192</v>
      </c>
      <c r="C156" s="40">
        <f>HYPERLINK("[N&amp;P Old retention.xlsx]'Coastal N Reductions'!BD108", 9183.172)</f>
        <v>9183.1720000000005</v>
      </c>
      <c r="D156" s="40">
        <f>HYPERLINK("[N&amp;P New retention.xlsx]'Coastal N Reductions'!BD108", 8840.152)</f>
        <v>8840.152</v>
      </c>
      <c r="E156" s="40">
        <f>HYPERLINK("[N&amp;P with New retention and Differentiation.xlsx]'Coastal N Reductions'!BD108", 8833.972)</f>
        <v>8833.9719999999998</v>
      </c>
      <c r="F156" s="42">
        <f>D156-C156</f>
        <v>-343.02000000000044</v>
      </c>
      <c r="G156" s="42">
        <f>E156-C156</f>
        <v>-349.20000000000073</v>
      </c>
      <c r="H156" s="40">
        <f>HYPERLINK("[N&amp;P Old retention.xlsx]'Coastal N Reductions'!AV108", 4056.064)</f>
        <v>4056.0639999999999</v>
      </c>
      <c r="I156" s="40">
        <f>HYPERLINK("[N&amp;P New retention.xlsx]'Coastal N Reductions'!AV108", 4246.226)</f>
        <v>4246.2259999999997</v>
      </c>
      <c r="J156" s="40">
        <f>HYPERLINK("[N&amp;P with New retention and Differentiation.xlsx]'Coastal N Reductions'!AV108", 4246.772)</f>
        <v>4246.7719999999999</v>
      </c>
      <c r="K156" s="41">
        <f>I156-H156</f>
        <v>190.16199999999981</v>
      </c>
      <c r="L156" s="41">
        <f>J156-H156</f>
        <v>190.70800000000008</v>
      </c>
      <c r="M156" s="40">
        <f>HYPERLINK("[N&amp;P Old retention.xlsx]'Coastal N Reductions'!AX108", 1550.904)</f>
        <v>1550.904</v>
      </c>
      <c r="N156" s="40">
        <f>HYPERLINK("[N&amp;P New retention.xlsx]'Coastal N Reductions'!AX108", 1206.43)</f>
        <v>1206.43</v>
      </c>
      <c r="O156" s="40">
        <f>HYPERLINK("[N&amp;P with New retention and Differentiation.xlsx]'Coastal N Reductions'!AX108", 1203.82)</f>
        <v>1203.82</v>
      </c>
      <c r="P156" s="42">
        <f>N156-M156</f>
        <v>-344.47399999999993</v>
      </c>
      <c r="Q156" s="42">
        <f>O156-M156</f>
        <v>-347.08400000000006</v>
      </c>
      <c r="R156" s="40">
        <f>HYPERLINK("[N&amp;P Old retention.xlsx]'Coastal N Reductions'!BF108", 495.764)</f>
        <v>495.76400000000001</v>
      </c>
      <c r="S156" s="40">
        <f>HYPERLINK("[N&amp;P New retention.xlsx]'Coastal N Reductions'!BF108", 484.09)</f>
        <v>484.09</v>
      </c>
      <c r="T156" s="40">
        <f>HYPERLINK("[N&amp;P with New retention and Differentiation.xlsx]'Coastal N Reductions'!BF108", 482.814)</f>
        <v>482.81400000000002</v>
      </c>
      <c r="U156" s="42">
        <f>S156-R156</f>
        <v>-11.674000000000035</v>
      </c>
      <c r="V156" s="42">
        <f>T156-R156</f>
        <v>-12.949999999999989</v>
      </c>
      <c r="W156" s="40">
        <f>HYPERLINK("[N&amp;P Old retention.xlsx]'Coastal N Reductions'!BI108", 176.402415672913)</f>
        <v>176.40241567291301</v>
      </c>
      <c r="X156" s="40">
        <f>HYPERLINK("[N&amp;P New retention.xlsx]'Coastal N Reductions'!BI108", 162.912415672913)</f>
        <v>162.912415672913</v>
      </c>
      <c r="Y156" s="40">
        <f>HYPERLINK("[N&amp;P with New retention and Differentiation.xlsx]'Coastal N Reductions'!BI108", 162.912415672913)</f>
        <v>162.912415672913</v>
      </c>
      <c r="Z156" s="42">
        <f>X156-W156</f>
        <v>-13.490000000000009</v>
      </c>
      <c r="AA156" s="42">
        <f>Y156-W156</f>
        <v>-13.490000000000009</v>
      </c>
      <c r="AB156" s="26">
        <f>HYPERLINK("[N&amp;P Old retention.xlsx]'Coastal N Reductions'!BS108", 279.999999999985)</f>
        <v>279.99999999998499</v>
      </c>
      <c r="AC156" s="26">
        <f>HYPERLINK("[N&amp;P New retention.xlsx]'Coastal N Reductions'!BS108", 279.999999999985)</f>
        <v>279.99999999998499</v>
      </c>
      <c r="AD156" s="26">
        <f>HYPERLINK("[N&amp;P with New retention and Differentiation.xlsx]'Coastal N Reductions'!BS108", 279.999999999985)</f>
        <v>279.99999999998499</v>
      </c>
      <c r="AE156" s="18"/>
      <c r="AF156" s="18"/>
      <c r="AG156" s="40">
        <f>HYPERLINK("[N&amp;P Old retention.xlsx]'Coastal N Reductions'!BH108", 151.523560155239)</f>
        <v>151.52356015523901</v>
      </c>
      <c r="AH156" s="40">
        <f>HYPERLINK("[N&amp;P New retention.xlsx]'Coastal N Reductions'!BH108", 103.275560155239)</f>
        <v>103.27556015523901</v>
      </c>
      <c r="AI156" s="40">
        <f>HYPERLINK("[N&amp;P with New retention and Differentiation.xlsx]'Coastal N Reductions'!BH108", 101.415560155239)</f>
        <v>101.41556015523901</v>
      </c>
      <c r="AJ156" s="42">
        <f>AH156-AG156</f>
        <v>-48.248000000000005</v>
      </c>
      <c r="AK156" s="42">
        <f>AI156-AG156</f>
        <v>-50.108000000000004</v>
      </c>
      <c r="AL156" s="40">
        <f>HYPERLINK("[N&amp;P Old retention.xlsx]'Coastal N Reductions'!AZ108", 2159.2512)</f>
        <v>2159.2512000000002</v>
      </c>
      <c r="AM156" s="40">
        <f>HYPERLINK("[N&amp;P New retention.xlsx]'Coastal N Reductions'!AZ108", 2181.7362)</f>
        <v>2181.7361999999998</v>
      </c>
      <c r="AN156" s="40">
        <f>HYPERLINK("[N&amp;P with New retention and Differentiation.xlsx]'Coastal N Reductions'!AZ108", 2173.6098)</f>
        <v>2173.6098000000002</v>
      </c>
      <c r="AO156" s="41">
        <f>AM156-AL156</f>
        <v>22.484999999999673</v>
      </c>
      <c r="AP156" s="41">
        <f>AN156-AL156</f>
        <v>14.358600000000024</v>
      </c>
      <c r="AQ156" s="40">
        <f>HYPERLINK("[N&amp;P Old retention.xlsx]'Coastal N Reductions'!BE108", 0.82)</f>
        <v>0.82</v>
      </c>
      <c r="AR156" s="18"/>
      <c r="AS156" s="18"/>
      <c r="AT156" s="42">
        <f>AR156-AQ156</f>
        <v>-0.82</v>
      </c>
      <c r="AU156" s="42">
        <f>AS156-AQ156</f>
        <v>-0.82</v>
      </c>
      <c r="AV156" s="18"/>
      <c r="AW156" s="18"/>
      <c r="AX156" s="18"/>
      <c r="AY156" s="18"/>
      <c r="AZ156" s="18"/>
      <c r="BA156" s="40">
        <f>HYPERLINK("[N&amp;P Old retention.xlsx]'Coastal N Reductions'!BP108", 11.33)</f>
        <v>11.33</v>
      </c>
      <c r="BB156" s="40">
        <f>HYPERLINK("[N&amp;P New retention.xlsx]'Coastal N Reductions'!BP108", 16.76)</f>
        <v>16.760000000000002</v>
      </c>
      <c r="BC156" s="40">
        <f>HYPERLINK("[N&amp;P with New retention and Differentiation.xlsx]'Coastal N Reductions'!BP108", 32.12)</f>
        <v>32.119999999999997</v>
      </c>
      <c r="BD156" s="41">
        <f>BB156-BA156</f>
        <v>5.4300000000000015</v>
      </c>
      <c r="BE156" s="41">
        <f>BC156-BA156</f>
        <v>20.79</v>
      </c>
      <c r="BF156" s="26">
        <f>HYPERLINK("[N&amp;P Old retention.xlsx]'Coastal N Reductions'!BT108", 1)</f>
        <v>1</v>
      </c>
      <c r="BG156" s="26">
        <f>HYPERLINK("[N&amp;P New retention.xlsx]'Coastal N Reductions'!BT108", 1)</f>
        <v>1</v>
      </c>
      <c r="BH156" s="26">
        <f>HYPERLINK("[N&amp;P with New retention and Differentiation.xlsx]'Coastal N Reductions'!BT108", 1)</f>
        <v>1</v>
      </c>
      <c r="BI156" s="18"/>
      <c r="BJ156" s="18"/>
    </row>
    <row r="157" spans="1:62" x14ac:dyDescent="0.55000000000000004">
      <c r="A157" s="31">
        <v>95</v>
      </c>
      <c r="B157" s="5" t="s">
        <v>193</v>
      </c>
      <c r="C157" s="43">
        <f>HYPERLINK("[N&amp;P Old retention.xlsx]'Coastal N Reductions'!BD109", 103.17)</f>
        <v>103.17</v>
      </c>
      <c r="D157" s="43">
        <f>HYPERLINK("[N&amp;P New retention.xlsx]'Coastal N Reductions'!BD109", 100.71)</f>
        <v>100.71</v>
      </c>
      <c r="E157" s="43">
        <f>HYPERLINK("[N&amp;P with New retention and Differentiation.xlsx]'Coastal N Reductions'!BD109", 100.71)</f>
        <v>100.71</v>
      </c>
      <c r="F157" s="42">
        <f>D157-C157</f>
        <v>-2.460000000000008</v>
      </c>
      <c r="G157" s="42">
        <f>E157-C157</f>
        <v>-2.460000000000008</v>
      </c>
      <c r="H157" s="43">
        <f>HYPERLINK("[N&amp;P Old retention.xlsx]'Coastal N Reductions'!AV109", 498.542)</f>
        <v>498.54199999999997</v>
      </c>
      <c r="I157" s="43">
        <f>HYPERLINK("[N&amp;P New retention.xlsx]'Coastal N Reductions'!AV109", 523.484)</f>
        <v>523.48400000000004</v>
      </c>
      <c r="J157" s="43">
        <f>HYPERLINK("[N&amp;P with New retention and Differentiation.xlsx]'Coastal N Reductions'!AV109", 523.484)</f>
        <v>523.48400000000004</v>
      </c>
      <c r="K157" s="41">
        <f>I157-H157</f>
        <v>24.942000000000064</v>
      </c>
      <c r="L157" s="41">
        <f>J157-H157</f>
        <v>24.942000000000064</v>
      </c>
      <c r="M157" s="43">
        <f>HYPERLINK("[N&amp;P Old retention.xlsx]'Coastal N Reductions'!AX109", 122.912)</f>
        <v>122.91200000000001</v>
      </c>
      <c r="N157" s="43">
        <f>HYPERLINK("[N&amp;P New retention.xlsx]'Coastal N Reductions'!AX109", 91.366)</f>
        <v>91.366</v>
      </c>
      <c r="O157" s="43">
        <f>HYPERLINK("[N&amp;P with New retention and Differentiation.xlsx]'Coastal N Reductions'!AX109", 91.366)</f>
        <v>91.366</v>
      </c>
      <c r="P157" s="42">
        <f>N157-M157</f>
        <v>-31.546000000000006</v>
      </c>
      <c r="Q157" s="42">
        <f>O157-M157</f>
        <v>-31.546000000000006</v>
      </c>
      <c r="R157" s="13"/>
      <c r="S157" s="13"/>
      <c r="T157" s="13"/>
      <c r="U157" s="13"/>
      <c r="V157" s="13"/>
      <c r="W157" s="43">
        <f>HYPERLINK("[N&amp;P Old retention.xlsx]'Coastal N Reductions'!BI109", 22.24)</f>
        <v>22.24</v>
      </c>
      <c r="X157" s="43">
        <f>HYPERLINK("[N&amp;P New retention.xlsx]'Coastal N Reductions'!BI109", 13.344)</f>
        <v>13.343999999999999</v>
      </c>
      <c r="Y157" s="43">
        <f>HYPERLINK("[N&amp;P with New retention and Differentiation.xlsx]'Coastal N Reductions'!BI109", 13.344)</f>
        <v>13.343999999999999</v>
      </c>
      <c r="Z157" s="42">
        <f>X157-W157</f>
        <v>-8.895999999999999</v>
      </c>
      <c r="AA157" s="42">
        <f>Y157-W157</f>
        <v>-8.895999999999999</v>
      </c>
      <c r="AB157" s="13"/>
      <c r="AC157" s="13"/>
      <c r="AD157" s="13"/>
      <c r="AE157" s="13"/>
      <c r="AF157" s="13"/>
      <c r="AG157" s="43">
        <f>HYPERLINK("[N&amp;P Old retention.xlsx]'Coastal N Reductions'!BH109", 0.6)</f>
        <v>0.6</v>
      </c>
      <c r="AH157" s="13"/>
      <c r="AI157" s="13"/>
      <c r="AJ157" s="42">
        <f>AH157-AG157</f>
        <v>-0.6</v>
      </c>
      <c r="AK157" s="42">
        <f>AI157-AG157</f>
        <v>-0.6</v>
      </c>
      <c r="AL157" s="43">
        <f>HYPERLINK("[N&amp;P Old retention.xlsx]'Coastal N Reductions'!AZ109", 647.5284)</f>
        <v>647.52840000000003</v>
      </c>
      <c r="AM157" s="43">
        <f>HYPERLINK("[N&amp;P New retention.xlsx]'Coastal N Reductions'!AZ109", 670.797)</f>
        <v>670.79700000000003</v>
      </c>
      <c r="AN157" s="43">
        <f>HYPERLINK("[N&amp;P with New retention and Differentiation.xlsx]'Coastal N Reductions'!AZ109", 670.797)</f>
        <v>670.79700000000003</v>
      </c>
      <c r="AO157" s="41">
        <f>AM157-AL157</f>
        <v>23.268599999999992</v>
      </c>
      <c r="AP157" s="41">
        <f>AN157-AL157</f>
        <v>23.268599999999992</v>
      </c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</row>
    <row r="158" spans="1:62" x14ac:dyDescent="0.55000000000000004">
      <c r="A158" s="30">
        <v>96</v>
      </c>
      <c r="B158" s="6" t="s">
        <v>194</v>
      </c>
      <c r="C158" s="40">
        <f>HYPERLINK("[N&amp;P Old retention.xlsx]'Coastal N Reductions'!BD110", 660.856)</f>
        <v>660.85599999999999</v>
      </c>
      <c r="D158" s="40">
        <f>HYPERLINK("[N&amp;P New retention.xlsx]'Coastal N Reductions'!BD110", 877.584)</f>
        <v>877.58399999999995</v>
      </c>
      <c r="E158" s="40">
        <f>HYPERLINK("[N&amp;P with New retention and Differentiation.xlsx]'Coastal N Reductions'!BD110", 880.454)</f>
        <v>880.45399999999995</v>
      </c>
      <c r="F158" s="41">
        <f>D158-C158</f>
        <v>216.72799999999995</v>
      </c>
      <c r="G158" s="41">
        <f>E158-C158</f>
        <v>219.59799999999996</v>
      </c>
      <c r="H158" s="40">
        <f>HYPERLINK("[N&amp;P Old retention.xlsx]'Coastal N Reductions'!AV110", 530.616)</f>
        <v>530.61599999999999</v>
      </c>
      <c r="I158" s="40">
        <f>HYPERLINK("[N&amp;P New retention.xlsx]'Coastal N Reductions'!AV110", 546.038)</f>
        <v>546.03800000000001</v>
      </c>
      <c r="J158" s="40">
        <f>HYPERLINK("[N&amp;P with New retention and Differentiation.xlsx]'Coastal N Reductions'!AV110", 545.294)</f>
        <v>545.29399999999998</v>
      </c>
      <c r="K158" s="41">
        <f>I158-H158</f>
        <v>15.422000000000025</v>
      </c>
      <c r="L158" s="41">
        <f>J158-H158</f>
        <v>14.677999999999997</v>
      </c>
      <c r="M158" s="40">
        <f>HYPERLINK("[N&amp;P Old retention.xlsx]'Coastal N Reductions'!AX110", 1451.53)</f>
        <v>1451.53</v>
      </c>
      <c r="N158" s="40">
        <f>HYPERLINK("[N&amp;P New retention.xlsx]'Coastal N Reductions'!AX110", 1484.162)</f>
        <v>1484.162</v>
      </c>
      <c r="O158" s="40">
        <f>HYPERLINK("[N&amp;P with New retention and Differentiation.xlsx]'Coastal N Reductions'!AX110", 1475.792)</f>
        <v>1475.7919999999999</v>
      </c>
      <c r="P158" s="41">
        <f>N158-M158</f>
        <v>32.632000000000062</v>
      </c>
      <c r="Q158" s="41">
        <f>O158-M158</f>
        <v>24.261999999999944</v>
      </c>
      <c r="R158" s="18"/>
      <c r="S158" s="18"/>
      <c r="T158" s="18"/>
      <c r="U158" s="18"/>
      <c r="V158" s="18"/>
      <c r="W158" s="40">
        <f>HYPERLINK("[N&amp;P Old retention.xlsx]'Coastal N Reductions'!BI110", 42.8431923076923)</f>
        <v>42.843192307692298</v>
      </c>
      <c r="X158" s="40">
        <f>HYPERLINK("[N&amp;P New retention.xlsx]'Coastal N Reductions'!BI110", 41.9631923076923)</f>
        <v>41.963192307692303</v>
      </c>
      <c r="Y158" s="40">
        <f>HYPERLINK("[N&amp;P with New retention and Differentiation.xlsx]'Coastal N Reductions'!BI110", 41.9631923076923)</f>
        <v>41.963192307692303</v>
      </c>
      <c r="Z158" s="42">
        <f>X158-W158</f>
        <v>-0.87999999999999545</v>
      </c>
      <c r="AA158" s="42">
        <f>Y158-W158</f>
        <v>-0.87999999999999545</v>
      </c>
      <c r="AB158" s="18"/>
      <c r="AC158" s="26">
        <f>HYPERLINK("[N&amp;P New retention.xlsx]'Coastal N Reductions'!BS110", 500)</f>
        <v>500</v>
      </c>
      <c r="AD158" s="26">
        <f>HYPERLINK("[N&amp;P with New retention and Differentiation.xlsx]'Coastal N Reductions'!BS110", 500)</f>
        <v>500</v>
      </c>
      <c r="AE158" s="16">
        <f>AC158-AB158</f>
        <v>500</v>
      </c>
      <c r="AF158" s="16">
        <f>AD158-AB158</f>
        <v>500</v>
      </c>
      <c r="AG158" s="40">
        <f>HYPERLINK("[N&amp;P Old retention.xlsx]'Coastal N Reductions'!BH110", 4.31)</f>
        <v>4.3099999999999996</v>
      </c>
      <c r="AH158" s="40">
        <f>HYPERLINK("[N&amp;P New retention.xlsx]'Coastal N Reductions'!BH110", 15.21)</f>
        <v>15.21</v>
      </c>
      <c r="AI158" s="40">
        <f>HYPERLINK("[N&amp;P with New retention and Differentiation.xlsx]'Coastal N Reductions'!BH110", 14.07)</f>
        <v>14.07</v>
      </c>
      <c r="AJ158" s="41">
        <f>AH158-AG158</f>
        <v>10.900000000000002</v>
      </c>
      <c r="AK158" s="41">
        <f>AI158-AG158</f>
        <v>9.7600000000000016</v>
      </c>
      <c r="AL158" s="40">
        <f>HYPERLINK("[N&amp;P Old retention.xlsx]'Coastal N Reductions'!AZ110", 282.9366)</f>
        <v>282.9366</v>
      </c>
      <c r="AM158" s="40">
        <f>HYPERLINK("[N&amp;P New retention.xlsx]'Coastal N Reductions'!AZ110", 269.6052)</f>
        <v>269.60520000000002</v>
      </c>
      <c r="AN158" s="40">
        <f>HYPERLINK("[N&amp;P with New retention and Differentiation.xlsx]'Coastal N Reductions'!AZ110", 270.3132)</f>
        <v>270.31319999999999</v>
      </c>
      <c r="AO158" s="42">
        <f>AM158-AL158</f>
        <v>-13.331399999999974</v>
      </c>
      <c r="AP158" s="42">
        <f>AN158-AL158</f>
        <v>-12.623400000000004</v>
      </c>
      <c r="AQ158" s="18"/>
      <c r="AR158" s="40">
        <f>HYPERLINK("[N&amp;P New retention.xlsx]'Coastal N Reductions'!BE110", 2.52)</f>
        <v>2.52</v>
      </c>
      <c r="AS158" s="40">
        <f>HYPERLINK("[N&amp;P with New retention and Differentiation.xlsx]'Coastal N Reductions'!BE110", 2.52)</f>
        <v>2.52</v>
      </c>
      <c r="AT158" s="41">
        <f>AR158-AQ158</f>
        <v>2.52</v>
      </c>
      <c r="AU158" s="41">
        <f>AS158-AQ158</f>
        <v>2.52</v>
      </c>
      <c r="AV158" s="18"/>
      <c r="AW158" s="18"/>
      <c r="AX158" s="40">
        <f>HYPERLINK("[N&amp;P with New retention and Differentiation.xlsx]'Coastal N Reductions'!BC110", 2.51)</f>
        <v>2.5099999999999998</v>
      </c>
      <c r="AY158" s="18"/>
      <c r="AZ158" s="41">
        <f>AX158-AV158</f>
        <v>2.5099999999999998</v>
      </c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</row>
    <row r="159" spans="1:62" x14ac:dyDescent="0.55000000000000004">
      <c r="A159" s="31">
        <v>101</v>
      </c>
      <c r="B159" s="5" t="s">
        <v>195</v>
      </c>
      <c r="C159" s="43">
        <f>HYPERLINK("[N&amp;P Old retention.xlsx]'Coastal N Reductions'!BD3", 153.742)</f>
        <v>153.74199999999999</v>
      </c>
      <c r="D159" s="43">
        <f>HYPERLINK("[N&amp;P New retention.xlsx]'Coastal N Reductions'!BD3", 164.592)</f>
        <v>164.59200000000001</v>
      </c>
      <c r="E159" s="43">
        <f>HYPERLINK("[N&amp;P with New retention and Differentiation.xlsx]'Coastal N Reductions'!BD3", 186.79)</f>
        <v>186.79</v>
      </c>
      <c r="F159" s="41">
        <f>D159-C159</f>
        <v>10.850000000000023</v>
      </c>
      <c r="G159" s="41">
        <f>E159-C159</f>
        <v>33.048000000000002</v>
      </c>
      <c r="H159" s="43">
        <f>HYPERLINK("[N&amp;P Old retention.xlsx]'Coastal N Reductions'!AV3", 222.85)</f>
        <v>222.85</v>
      </c>
      <c r="I159" s="43">
        <f>HYPERLINK("[N&amp;P New retention.xlsx]'Coastal N Reductions'!AV3", 178.218)</f>
        <v>178.21799999999999</v>
      </c>
      <c r="J159" s="43">
        <f>HYPERLINK("[N&amp;P with New retention and Differentiation.xlsx]'Coastal N Reductions'!AV3", 194.726)</f>
        <v>194.726</v>
      </c>
      <c r="K159" s="42">
        <f>I159-H159</f>
        <v>-44.632000000000005</v>
      </c>
      <c r="L159" s="42">
        <f>J159-H159</f>
        <v>-28.123999999999995</v>
      </c>
      <c r="M159" s="43">
        <f>HYPERLINK("[N&amp;P Old retention.xlsx]'Coastal N Reductions'!AX3", 32.31)</f>
        <v>32.31</v>
      </c>
      <c r="N159" s="43">
        <f>HYPERLINK("[N&amp;P New retention.xlsx]'Coastal N Reductions'!AX3", 18.26)</f>
        <v>18.260000000000002</v>
      </c>
      <c r="O159" s="43">
        <f>HYPERLINK("[N&amp;P with New retention and Differentiation.xlsx]'Coastal N Reductions'!AX3", 21.69)</f>
        <v>21.69</v>
      </c>
      <c r="P159" s="42">
        <f>N159-M159</f>
        <v>-14.05</v>
      </c>
      <c r="Q159" s="42">
        <f>O159-M159</f>
        <v>-10.620000000000001</v>
      </c>
      <c r="R159" s="43">
        <f>HYPERLINK("[N&amp;P Old retention.xlsx]'Coastal N Reductions'!BF3", 33.88)</f>
        <v>33.880000000000003</v>
      </c>
      <c r="S159" s="43">
        <f>HYPERLINK("[N&amp;P New retention.xlsx]'Coastal N Reductions'!BF3", 24.628)</f>
        <v>24.628</v>
      </c>
      <c r="T159" s="43">
        <f>HYPERLINK("[N&amp;P with New retention and Differentiation.xlsx]'Coastal N Reductions'!BF3", 10.01)</f>
        <v>10.01</v>
      </c>
      <c r="U159" s="42">
        <f>S159-R159</f>
        <v>-9.2520000000000024</v>
      </c>
      <c r="V159" s="42">
        <f>T159-R159</f>
        <v>-23.870000000000005</v>
      </c>
      <c r="W159" s="43">
        <f>HYPERLINK("[N&amp;P Old retention.xlsx]'Coastal N Reductions'!BI3", 16.644)</f>
        <v>16.643999999999998</v>
      </c>
      <c r="X159" s="43">
        <f>HYPERLINK("[N&amp;P New retention.xlsx]'Coastal N Reductions'!BI3", 22.498)</f>
        <v>22.498000000000001</v>
      </c>
      <c r="Y159" s="43">
        <f>HYPERLINK("[N&amp;P with New retention and Differentiation.xlsx]'Coastal N Reductions'!BI3", 20.36)</f>
        <v>20.36</v>
      </c>
      <c r="Z159" s="41">
        <f>X159-W159</f>
        <v>5.8540000000000028</v>
      </c>
      <c r="AA159" s="41">
        <f>Y159-W159</f>
        <v>3.7160000000000011</v>
      </c>
      <c r="AB159" s="13"/>
      <c r="AC159" s="13"/>
      <c r="AD159" s="13"/>
      <c r="AE159" s="13"/>
      <c r="AF159" s="13"/>
      <c r="AG159" s="43">
        <f>HYPERLINK("[N&amp;P Old retention.xlsx]'Coastal N Reductions'!BH3", 12.01)</f>
        <v>12.01</v>
      </c>
      <c r="AH159" s="43">
        <f>HYPERLINK("[N&amp;P New retention.xlsx]'Coastal N Reductions'!BH3", 14.68)</f>
        <v>14.68</v>
      </c>
      <c r="AI159" s="43">
        <f>HYPERLINK("[N&amp;P with New retention and Differentiation.xlsx]'Coastal N Reductions'!BH3", 14.85)</f>
        <v>14.85</v>
      </c>
      <c r="AJ159" s="41">
        <f>AH159-AG159</f>
        <v>2.67</v>
      </c>
      <c r="AK159" s="41">
        <f>AI159-AG159</f>
        <v>2.84</v>
      </c>
      <c r="AL159" s="43">
        <f>HYPERLINK("[N&amp;P Old retention.xlsx]'Coastal N Reductions'!AZ3", 21.9636)</f>
        <v>21.9636</v>
      </c>
      <c r="AM159" s="13"/>
      <c r="AN159" s="43">
        <f>HYPERLINK("[N&amp;P with New retention and Differentiation.xlsx]'Coastal N Reductions'!AZ3", 4.3668)</f>
        <v>4.3667999999999996</v>
      </c>
      <c r="AO159" s="42">
        <f>AM159-AL159</f>
        <v>-21.9636</v>
      </c>
      <c r="AP159" s="42">
        <f>AN159-AL159</f>
        <v>-17.596800000000002</v>
      </c>
      <c r="AQ159" s="13"/>
      <c r="AR159" s="43">
        <f>HYPERLINK("[N&amp;P New retention.xlsx]'Coastal N Reductions'!BE3", 1.93)</f>
        <v>1.93</v>
      </c>
      <c r="AS159" s="13"/>
      <c r="AT159" s="41">
        <f>AR159-AQ159</f>
        <v>1.93</v>
      </c>
      <c r="AU159" s="13"/>
      <c r="AV159" s="13"/>
      <c r="AW159" s="13"/>
      <c r="AX159" s="43">
        <f>HYPERLINK("[N&amp;P with New retention and Differentiation.xlsx]'Coastal N Reductions'!BC3", 12.01)</f>
        <v>12.01</v>
      </c>
      <c r="AY159" s="13"/>
      <c r="AZ159" s="41">
        <f>AX159-AV159</f>
        <v>12.01</v>
      </c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</row>
    <row r="160" spans="1:62" x14ac:dyDescent="0.55000000000000004">
      <c r="A160" s="30">
        <v>102</v>
      </c>
      <c r="B160" s="6" t="s">
        <v>196</v>
      </c>
      <c r="C160" s="40">
        <f>HYPERLINK("[N&amp;P Old retention.xlsx]'Coastal N Reductions'!BD4", 526.848)</f>
        <v>526.84799999999996</v>
      </c>
      <c r="D160" s="40">
        <f>HYPERLINK("[N&amp;P New retention.xlsx]'Coastal N Reductions'!BD4", 1237.624)</f>
        <v>1237.624</v>
      </c>
      <c r="E160" s="40">
        <f>HYPERLINK("[N&amp;P with New retention and Differentiation.xlsx]'Coastal N Reductions'!BD4", 1238.864)</f>
        <v>1238.864</v>
      </c>
      <c r="F160" s="41">
        <f>D160-C160</f>
        <v>710.77600000000007</v>
      </c>
      <c r="G160" s="41">
        <f>E160-C160</f>
        <v>712.01600000000008</v>
      </c>
      <c r="H160" s="40">
        <f>HYPERLINK("[N&amp;P Old retention.xlsx]'Coastal N Reductions'!AV4", 322.252)</f>
        <v>322.25200000000001</v>
      </c>
      <c r="I160" s="40">
        <f>HYPERLINK("[N&amp;P New retention.xlsx]'Coastal N Reductions'!AV4", 193.524)</f>
        <v>193.524</v>
      </c>
      <c r="J160" s="40">
        <f>HYPERLINK("[N&amp;P with New retention and Differentiation.xlsx]'Coastal N Reductions'!AV4", 192.584)</f>
        <v>192.584</v>
      </c>
      <c r="K160" s="42">
        <f>I160-H160</f>
        <v>-128.72800000000001</v>
      </c>
      <c r="L160" s="42">
        <f>J160-H160</f>
        <v>-129.66800000000001</v>
      </c>
      <c r="M160" s="40">
        <f>HYPERLINK("[N&amp;P Old retention.xlsx]'Coastal N Reductions'!AX4", 335.138)</f>
        <v>335.13799999999998</v>
      </c>
      <c r="N160" s="40">
        <f>HYPERLINK("[N&amp;P New retention.xlsx]'Coastal N Reductions'!AX4", 235.912)</f>
        <v>235.91200000000001</v>
      </c>
      <c r="O160" s="40">
        <f>HYPERLINK("[N&amp;P with New retention and Differentiation.xlsx]'Coastal N Reductions'!AX4", 230.512)</f>
        <v>230.512</v>
      </c>
      <c r="P160" s="42">
        <f>N160-M160</f>
        <v>-99.225999999999971</v>
      </c>
      <c r="Q160" s="42">
        <f>O160-M160</f>
        <v>-104.62599999999998</v>
      </c>
      <c r="R160" s="40">
        <f>HYPERLINK("[N&amp;P Old retention.xlsx]'Coastal N Reductions'!BF4", 73.53)</f>
        <v>73.53</v>
      </c>
      <c r="S160" s="40">
        <f>HYPERLINK("[N&amp;P New retention.xlsx]'Coastal N Reductions'!BF4", 148.042)</f>
        <v>148.042</v>
      </c>
      <c r="T160" s="40">
        <f>HYPERLINK("[N&amp;P with New retention and Differentiation.xlsx]'Coastal N Reductions'!BF4", 151.382)</f>
        <v>151.38200000000001</v>
      </c>
      <c r="U160" s="41">
        <f>S160-R160</f>
        <v>74.512</v>
      </c>
      <c r="V160" s="41">
        <f>T160-R160</f>
        <v>77.852000000000004</v>
      </c>
      <c r="W160" s="40">
        <f>HYPERLINK("[N&amp;P Old retention.xlsx]'Coastal N Reductions'!BI4", 11.12)</f>
        <v>11.12</v>
      </c>
      <c r="X160" s="40">
        <f>HYPERLINK("[N&amp;P New retention.xlsx]'Coastal N Reductions'!BI4", 11.624)</f>
        <v>11.624000000000001</v>
      </c>
      <c r="Y160" s="40">
        <f>HYPERLINK("[N&amp;P with New retention and Differentiation.xlsx]'Coastal N Reductions'!BI4", 11.624)</f>
        <v>11.624000000000001</v>
      </c>
      <c r="Z160" s="41">
        <f>X160-W160</f>
        <v>0.50400000000000134</v>
      </c>
      <c r="AA160" s="41">
        <f>Y160-W160</f>
        <v>0.50400000000000134</v>
      </c>
      <c r="AB160" s="18"/>
      <c r="AC160" s="26">
        <f>HYPERLINK("[N&amp;P New retention.xlsx]'Coastal N Reductions'!BS4", 1960)</f>
        <v>1960</v>
      </c>
      <c r="AD160" s="26">
        <f>HYPERLINK("[N&amp;P with New retention and Differentiation.xlsx]'Coastal N Reductions'!BS4", 1960)</f>
        <v>1960</v>
      </c>
      <c r="AE160" s="16">
        <f>AC160-AB160</f>
        <v>1960</v>
      </c>
      <c r="AF160" s="16">
        <f>AD160-AB160</f>
        <v>1960</v>
      </c>
      <c r="AG160" s="40">
        <f>HYPERLINK("[N&amp;P Old retention.xlsx]'Coastal N Reductions'!BH4", 20.81)</f>
        <v>20.81</v>
      </c>
      <c r="AH160" s="40">
        <f>HYPERLINK("[N&amp;P New retention.xlsx]'Coastal N Reductions'!BH4", 36.638)</f>
        <v>36.637999999999998</v>
      </c>
      <c r="AI160" s="40">
        <f>HYPERLINK("[N&amp;P with New retention and Differentiation.xlsx]'Coastal N Reductions'!BH4", 36.638)</f>
        <v>36.637999999999998</v>
      </c>
      <c r="AJ160" s="41">
        <f>AH160-AG160</f>
        <v>15.827999999999999</v>
      </c>
      <c r="AK160" s="41">
        <f>AI160-AG160</f>
        <v>15.827999999999999</v>
      </c>
      <c r="AL160" s="40">
        <f>HYPERLINK("[N&amp;P Old retention.xlsx]'Coastal N Reductions'!AZ4", 147.9558)</f>
        <v>147.95580000000001</v>
      </c>
      <c r="AM160" s="40">
        <f>HYPERLINK("[N&amp;P New retention.xlsx]'Coastal N Reductions'!AZ4", 47.4468)</f>
        <v>47.446800000000003</v>
      </c>
      <c r="AN160" s="40">
        <f>HYPERLINK("[N&amp;P with New retention and Differentiation.xlsx]'Coastal N Reductions'!AZ4", 47.4468)</f>
        <v>47.446800000000003</v>
      </c>
      <c r="AO160" s="42">
        <f>AM160-AL160</f>
        <v>-100.50900000000001</v>
      </c>
      <c r="AP160" s="42">
        <f>AN160-AL160</f>
        <v>-100.50900000000001</v>
      </c>
      <c r="AQ160" s="18"/>
      <c r="AR160" s="40">
        <f>HYPERLINK("[N&amp;P New retention.xlsx]'Coastal N Reductions'!BE4", 11.092)</f>
        <v>11.092000000000001</v>
      </c>
      <c r="AS160" s="40">
        <f>HYPERLINK("[N&amp;P with New retention and Differentiation.xlsx]'Coastal N Reductions'!BE4", 11.282)</f>
        <v>11.282</v>
      </c>
      <c r="AT160" s="41">
        <f>AR160-AQ160</f>
        <v>11.092000000000001</v>
      </c>
      <c r="AU160" s="41">
        <f>AS160-AQ160</f>
        <v>11.282</v>
      </c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</row>
    <row r="161" spans="1:62" x14ac:dyDescent="0.55000000000000004">
      <c r="A161" s="31">
        <v>103</v>
      </c>
      <c r="B161" s="5" t="s">
        <v>197</v>
      </c>
      <c r="C161" s="43">
        <f>HYPERLINK("[N&amp;P Old retention.xlsx]'Coastal N Reductions'!BD5", 775.956)</f>
        <v>775.95600000000002</v>
      </c>
      <c r="D161" s="43">
        <f>HYPERLINK("[N&amp;P New retention.xlsx]'Coastal N Reductions'!BD5", 798.36)</f>
        <v>798.36</v>
      </c>
      <c r="E161" s="43">
        <f>HYPERLINK("[N&amp;P with New retention and Differentiation.xlsx]'Coastal N Reductions'!BD5", 782.76)</f>
        <v>782.76</v>
      </c>
      <c r="F161" s="41">
        <f>D161-C161</f>
        <v>22.403999999999996</v>
      </c>
      <c r="G161" s="41">
        <f>E161-C161</f>
        <v>6.8039999999999736</v>
      </c>
      <c r="H161" s="43">
        <f>HYPERLINK("[N&amp;P Old retention.xlsx]'Coastal N Reductions'!AV5", 572.352)</f>
        <v>572.35199999999998</v>
      </c>
      <c r="I161" s="43">
        <f>HYPERLINK("[N&amp;P New retention.xlsx]'Coastal N Reductions'!AV5", 510.84)</f>
        <v>510.84</v>
      </c>
      <c r="J161" s="43">
        <f>HYPERLINK("[N&amp;P with New retention and Differentiation.xlsx]'Coastal N Reductions'!AV5", 512.942)</f>
        <v>512.94200000000001</v>
      </c>
      <c r="K161" s="42">
        <f>I161-H161</f>
        <v>-61.512</v>
      </c>
      <c r="L161" s="42">
        <f>J161-H161</f>
        <v>-59.409999999999968</v>
      </c>
      <c r="M161" s="43">
        <f>HYPERLINK("[N&amp;P Old retention.xlsx]'Coastal N Reductions'!AX5", 279.02)</f>
        <v>279.02</v>
      </c>
      <c r="N161" s="43">
        <f>HYPERLINK("[N&amp;P New retention.xlsx]'Coastal N Reductions'!AX5", 101.72)</f>
        <v>101.72</v>
      </c>
      <c r="O161" s="43">
        <f>HYPERLINK("[N&amp;P with New retention and Differentiation.xlsx]'Coastal N Reductions'!AX5", 95.87)</f>
        <v>95.87</v>
      </c>
      <c r="P161" s="42">
        <f>N161-M161</f>
        <v>-177.29999999999998</v>
      </c>
      <c r="Q161" s="42">
        <f>O161-M161</f>
        <v>-183.14999999999998</v>
      </c>
      <c r="R161" s="43">
        <f>HYPERLINK("[N&amp;P Old retention.xlsx]'Coastal N Reductions'!BF5", 196.6)</f>
        <v>196.6</v>
      </c>
      <c r="S161" s="43">
        <f>HYPERLINK("[N&amp;P New retention.xlsx]'Coastal N Reductions'!BF5", 192.87)</f>
        <v>192.87</v>
      </c>
      <c r="T161" s="43">
        <f>HYPERLINK("[N&amp;P with New retention and Differentiation.xlsx]'Coastal N Reductions'!BF5", 200.2)</f>
        <v>200.2</v>
      </c>
      <c r="U161" s="42">
        <f>S161-R161</f>
        <v>-3.7299999999999898</v>
      </c>
      <c r="V161" s="41">
        <f>T161-R161</f>
        <v>3.5999999999999943</v>
      </c>
      <c r="W161" s="43">
        <f>HYPERLINK("[N&amp;P Old retention.xlsx]'Coastal N Reductions'!BI5", 34.104)</f>
        <v>34.103999999999999</v>
      </c>
      <c r="X161" s="43">
        <f>HYPERLINK("[N&amp;P New retention.xlsx]'Coastal N Reductions'!BI5", 34.724)</f>
        <v>34.723999999999997</v>
      </c>
      <c r="Y161" s="43">
        <f>HYPERLINK("[N&amp;P with New retention and Differentiation.xlsx]'Coastal N Reductions'!BI5", 34.724)</f>
        <v>34.723999999999997</v>
      </c>
      <c r="Z161" s="41">
        <f>X161-W161</f>
        <v>0.61999999999999744</v>
      </c>
      <c r="AA161" s="41">
        <f>Y161-W161</f>
        <v>0.61999999999999744</v>
      </c>
      <c r="AB161" s="13"/>
      <c r="AC161" s="13"/>
      <c r="AD161" s="13"/>
      <c r="AE161" s="13"/>
      <c r="AF161" s="13"/>
      <c r="AG161" s="43">
        <f>HYPERLINK("[N&amp;P Old retention.xlsx]'Coastal N Reductions'!BH5", 64.164)</f>
        <v>64.164000000000001</v>
      </c>
      <c r="AH161" s="43">
        <f>HYPERLINK("[N&amp;P New retention.xlsx]'Coastal N Reductions'!BH5", 55.724)</f>
        <v>55.723999999999997</v>
      </c>
      <c r="AI161" s="43">
        <f>HYPERLINK("[N&amp;P with New retention and Differentiation.xlsx]'Coastal N Reductions'!BH5", 55.964)</f>
        <v>55.963999999999999</v>
      </c>
      <c r="AJ161" s="42">
        <f>AH161-AG161</f>
        <v>-8.4400000000000048</v>
      </c>
      <c r="AK161" s="42">
        <f>AI161-AG161</f>
        <v>-8.2000000000000028</v>
      </c>
      <c r="AL161" s="43">
        <f>HYPERLINK("[N&amp;P Old retention.xlsx]'Coastal N Reductions'!AZ5", 479.7984)</f>
        <v>479.79840000000002</v>
      </c>
      <c r="AM161" s="43">
        <f>HYPERLINK("[N&amp;P New retention.xlsx]'Coastal N Reductions'!AZ5", 459.2826)</f>
        <v>459.2826</v>
      </c>
      <c r="AN161" s="43">
        <f>HYPERLINK("[N&amp;P with New retention and Differentiation.xlsx]'Coastal N Reductions'!AZ5", 456.9984)</f>
        <v>456.9984</v>
      </c>
      <c r="AO161" s="42">
        <f>AM161-AL161</f>
        <v>-20.515800000000013</v>
      </c>
      <c r="AP161" s="42">
        <f>AN161-AL161</f>
        <v>-22.800000000000011</v>
      </c>
      <c r="AQ161" s="43">
        <f>HYPERLINK("[N&amp;P Old retention.xlsx]'Coastal N Reductions'!BE5", 0.156)</f>
        <v>0.156</v>
      </c>
      <c r="AR161" s="43">
        <f>HYPERLINK("[N&amp;P New retention.xlsx]'Coastal N Reductions'!BE5", 0.108)</f>
        <v>0.108</v>
      </c>
      <c r="AS161" s="43">
        <f>HYPERLINK("[N&amp;P with New retention and Differentiation.xlsx]'Coastal N Reductions'!BE5", 0.048)</f>
        <v>4.8000000000000001E-2</v>
      </c>
      <c r="AT161" s="42">
        <f>AR161-AQ161</f>
        <v>-4.8000000000000001E-2</v>
      </c>
      <c r="AU161" s="42">
        <f>AS161-AQ161</f>
        <v>-0.108</v>
      </c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</row>
    <row r="162" spans="1:62" x14ac:dyDescent="0.55000000000000004">
      <c r="A162" s="30">
        <v>104</v>
      </c>
      <c r="B162" s="6" t="s">
        <v>198</v>
      </c>
      <c r="C162" s="40">
        <f>HYPERLINK("[N&amp;P Old retention.xlsx]'Coastal N Reductions'!BD6", 227.486)</f>
        <v>227.48599999999999</v>
      </c>
      <c r="D162" s="40">
        <f>HYPERLINK("[N&amp;P New retention.xlsx]'Coastal N Reductions'!BD6", 318.686)</f>
        <v>318.68599999999998</v>
      </c>
      <c r="E162" s="40">
        <f>HYPERLINK("[N&amp;P with New retention and Differentiation.xlsx]'Coastal N Reductions'!BD6", 319.266)</f>
        <v>319.26600000000002</v>
      </c>
      <c r="F162" s="41">
        <f>D162-C162</f>
        <v>91.199999999999989</v>
      </c>
      <c r="G162" s="41">
        <f>E162-C162</f>
        <v>91.78000000000003</v>
      </c>
      <c r="H162" s="40">
        <f>HYPERLINK("[N&amp;P Old retention.xlsx]'Coastal N Reductions'!AV6", 151.268)</f>
        <v>151.268</v>
      </c>
      <c r="I162" s="40">
        <f>HYPERLINK("[N&amp;P New retention.xlsx]'Coastal N Reductions'!AV6", 121.55)</f>
        <v>121.55</v>
      </c>
      <c r="J162" s="40">
        <f>HYPERLINK("[N&amp;P with New retention and Differentiation.xlsx]'Coastal N Reductions'!AV6", 121.55)</f>
        <v>121.55</v>
      </c>
      <c r="K162" s="42">
        <f>I162-H162</f>
        <v>-29.718000000000004</v>
      </c>
      <c r="L162" s="42">
        <f>J162-H162</f>
        <v>-29.718000000000004</v>
      </c>
      <c r="M162" s="40">
        <f>HYPERLINK("[N&amp;P Old retention.xlsx]'Coastal N Reductions'!AX6", 314.934)</f>
        <v>314.93400000000003</v>
      </c>
      <c r="N162" s="40">
        <f>HYPERLINK("[N&amp;P New retention.xlsx]'Coastal N Reductions'!AX6", 298.644)</f>
        <v>298.64400000000001</v>
      </c>
      <c r="O162" s="40">
        <f>HYPERLINK("[N&amp;P with New retention and Differentiation.xlsx]'Coastal N Reductions'!AX6", 298.644)</f>
        <v>298.64400000000001</v>
      </c>
      <c r="P162" s="42">
        <f>N162-M162</f>
        <v>-16.29000000000002</v>
      </c>
      <c r="Q162" s="42">
        <f>O162-M162</f>
        <v>-16.29000000000002</v>
      </c>
      <c r="R162" s="18"/>
      <c r="S162" s="40">
        <f>HYPERLINK("[N&amp;P New retention.xlsx]'Coastal N Reductions'!BF6", 18.16)</f>
        <v>18.16</v>
      </c>
      <c r="T162" s="40">
        <f>HYPERLINK("[N&amp;P with New retention and Differentiation.xlsx]'Coastal N Reductions'!BF6", 15.67)</f>
        <v>15.67</v>
      </c>
      <c r="U162" s="41">
        <f>S162-R162</f>
        <v>18.16</v>
      </c>
      <c r="V162" s="41">
        <f>T162-R162</f>
        <v>15.67</v>
      </c>
      <c r="W162" s="40">
        <f>HYPERLINK("[N&amp;P Old retention.xlsx]'Coastal N Reductions'!BI6", 7.74200000000001)</f>
        <v>7.7420000000000098</v>
      </c>
      <c r="X162" s="40">
        <f>HYPERLINK("[N&amp;P New retention.xlsx]'Coastal N Reductions'!BI6", 8.16200000000001)</f>
        <v>8.1620000000000097</v>
      </c>
      <c r="Y162" s="40">
        <f>HYPERLINK("[N&amp;P with New retention and Differentiation.xlsx]'Coastal N Reductions'!BI6", 8.16200000000001)</f>
        <v>8.1620000000000097</v>
      </c>
      <c r="Z162" s="41">
        <f>X162-W162</f>
        <v>0.41999999999999993</v>
      </c>
      <c r="AA162" s="41">
        <f>Y162-W162</f>
        <v>0.41999999999999993</v>
      </c>
      <c r="AB162" s="26">
        <f>HYPERLINK("[N&amp;P Old retention.xlsx]'Coastal N Reductions'!BS6", 1600)</f>
        <v>1600</v>
      </c>
      <c r="AC162" s="26">
        <f>HYPERLINK("[N&amp;P New retention.xlsx]'Coastal N Reductions'!BS6", 2300)</f>
        <v>2300</v>
      </c>
      <c r="AD162" s="26">
        <f>HYPERLINK("[N&amp;P with New retention and Differentiation.xlsx]'Coastal N Reductions'!BS6", 2300)</f>
        <v>2300</v>
      </c>
      <c r="AE162" s="16">
        <f>AC162-AB162</f>
        <v>700</v>
      </c>
      <c r="AF162" s="16">
        <f>AD162-AB162</f>
        <v>700</v>
      </c>
      <c r="AG162" s="40">
        <f>HYPERLINK("[N&amp;P Old retention.xlsx]'Coastal N Reductions'!BH6", 13.87)</f>
        <v>13.87</v>
      </c>
      <c r="AH162" s="40">
        <f>HYPERLINK("[N&amp;P New retention.xlsx]'Coastal N Reductions'!BH6", 16.57)</f>
        <v>16.57</v>
      </c>
      <c r="AI162" s="40">
        <f>HYPERLINK("[N&amp;P with New retention and Differentiation.xlsx]'Coastal N Reductions'!BH6", 16.57)</f>
        <v>16.57</v>
      </c>
      <c r="AJ162" s="41">
        <f>AH162-AG162</f>
        <v>2.7000000000000011</v>
      </c>
      <c r="AK162" s="41">
        <f>AI162-AG162</f>
        <v>2.7000000000000011</v>
      </c>
      <c r="AL162" s="40">
        <f>HYPERLINK("[N&amp;P Old retention.xlsx]'Coastal N Reductions'!AZ6", 271.509)</f>
        <v>271.50900000000001</v>
      </c>
      <c r="AM162" s="40">
        <f>HYPERLINK("[N&amp;P New retention.xlsx]'Coastal N Reductions'!AZ6", 204.933)</f>
        <v>204.93299999999999</v>
      </c>
      <c r="AN162" s="40">
        <f>HYPERLINK("[N&amp;P with New retention and Differentiation.xlsx]'Coastal N Reductions'!AZ6", 203.565)</f>
        <v>203.565</v>
      </c>
      <c r="AO162" s="42">
        <f>AM162-AL162</f>
        <v>-66.576000000000022</v>
      </c>
      <c r="AP162" s="42">
        <f>AN162-AL162</f>
        <v>-67.944000000000017</v>
      </c>
      <c r="AQ162" s="18"/>
      <c r="AR162" s="40">
        <f>HYPERLINK("[N&amp;P New retention.xlsx]'Coastal N Reductions'!BE6", 1.81)</f>
        <v>1.81</v>
      </c>
      <c r="AS162" s="40">
        <f>HYPERLINK("[N&amp;P with New retention and Differentiation.xlsx]'Coastal N Reductions'!BE6", 1.81)</f>
        <v>1.81</v>
      </c>
      <c r="AT162" s="41">
        <f>AR162-AQ162</f>
        <v>1.81</v>
      </c>
      <c r="AU162" s="41">
        <f>AS162-AQ162</f>
        <v>1.81</v>
      </c>
      <c r="AV162" s="18"/>
      <c r="AW162" s="18"/>
      <c r="AX162" s="18"/>
      <c r="AY162" s="18"/>
      <c r="AZ162" s="18"/>
      <c r="BA162" s="40">
        <f>HYPERLINK("[N&amp;P Old retention.xlsx]'Coastal N Reductions'!BP6", 12.98)</f>
        <v>12.98</v>
      </c>
      <c r="BB162" s="40">
        <f>HYPERLINK("[N&amp;P New retention.xlsx]'Coastal N Reductions'!BP6", 12.98)</f>
        <v>12.98</v>
      </c>
      <c r="BC162" s="18"/>
      <c r="BD162" s="18"/>
      <c r="BE162" s="42">
        <f>BC162-BA162</f>
        <v>-12.98</v>
      </c>
      <c r="BF162" s="18"/>
      <c r="BG162" s="18"/>
      <c r="BH162" s="18"/>
      <c r="BI162" s="18"/>
      <c r="BJ162" s="18"/>
    </row>
    <row r="163" spans="1:62" x14ac:dyDescent="0.55000000000000004">
      <c r="A163" s="31">
        <v>105</v>
      </c>
      <c r="B163" s="5" t="s">
        <v>199</v>
      </c>
      <c r="C163" s="43">
        <f>HYPERLINK("[N&amp;P Old retention.xlsx]'Coastal N Reductions'!BD7", 1234.51)</f>
        <v>1234.51</v>
      </c>
      <c r="D163" s="43">
        <f>HYPERLINK("[N&amp;P New retention.xlsx]'Coastal N Reductions'!BD7", 1344.85)</f>
        <v>1344.85</v>
      </c>
      <c r="E163" s="43">
        <f>HYPERLINK("[N&amp;P with New retention and Differentiation.xlsx]'Coastal N Reductions'!BD7", 636.67)</f>
        <v>636.66999999999996</v>
      </c>
      <c r="F163" s="41">
        <f>D163-C163</f>
        <v>110.33999999999992</v>
      </c>
      <c r="G163" s="42">
        <f>E163-C163</f>
        <v>-597.84</v>
      </c>
      <c r="H163" s="43">
        <f>HYPERLINK("[N&amp;P Old retention.xlsx]'Coastal N Reductions'!AV7", 126.716)</f>
        <v>126.71599999999999</v>
      </c>
      <c r="I163" s="43">
        <f>HYPERLINK("[N&amp;P New retention.xlsx]'Coastal N Reductions'!AV7", 120.984)</f>
        <v>120.98399999999999</v>
      </c>
      <c r="J163" s="43">
        <f>HYPERLINK("[N&amp;P with New retention and Differentiation.xlsx]'Coastal N Reductions'!AV7", 124.246)</f>
        <v>124.246</v>
      </c>
      <c r="K163" s="42">
        <f>I163-H163</f>
        <v>-5.7319999999999993</v>
      </c>
      <c r="L163" s="42">
        <f>J163-H163</f>
        <v>-2.4699999999999989</v>
      </c>
      <c r="M163" s="43">
        <f>HYPERLINK("[N&amp;P Old retention.xlsx]'Coastal N Reductions'!AX7", 30.09)</f>
        <v>30.09</v>
      </c>
      <c r="N163" s="43">
        <f>HYPERLINK("[N&amp;P New retention.xlsx]'Coastal N Reductions'!AX7", 158.184)</f>
        <v>158.184</v>
      </c>
      <c r="O163" s="43">
        <f>HYPERLINK("[N&amp;P with New retention and Differentiation.xlsx]'Coastal N Reductions'!AX7", 160.134)</f>
        <v>160.13399999999999</v>
      </c>
      <c r="P163" s="41">
        <f>N163-M163</f>
        <v>128.09399999999999</v>
      </c>
      <c r="Q163" s="41">
        <f>O163-M163</f>
        <v>130.04399999999998</v>
      </c>
      <c r="R163" s="43">
        <f>HYPERLINK("[N&amp;P Old retention.xlsx]'Coastal N Reductions'!BF7", 142.892)</f>
        <v>142.892</v>
      </c>
      <c r="S163" s="43">
        <f>HYPERLINK("[N&amp;P New retention.xlsx]'Coastal N Reductions'!BF7", 156.842)</f>
        <v>156.84200000000001</v>
      </c>
      <c r="T163" s="43">
        <f>HYPERLINK("[N&amp;P with New retention and Differentiation.xlsx]'Coastal N Reductions'!BF7", 870.874)</f>
        <v>870.87400000000002</v>
      </c>
      <c r="U163" s="41">
        <f>S163-R163</f>
        <v>13.950000000000017</v>
      </c>
      <c r="V163" s="41">
        <f>T163-R163</f>
        <v>727.98199999999997</v>
      </c>
      <c r="W163" s="43">
        <f>HYPERLINK("[N&amp;P Old retention.xlsx]'Coastal N Reductions'!BI7", 6.31399999999999)</f>
        <v>6.3139999999999903</v>
      </c>
      <c r="X163" s="43">
        <f>HYPERLINK("[N&amp;P New retention.xlsx]'Coastal N Reductions'!BI7", 30.314)</f>
        <v>30.314</v>
      </c>
      <c r="Y163" s="43">
        <f>HYPERLINK("[N&amp;P with New retention and Differentiation.xlsx]'Coastal N Reductions'!BI7", 29.424)</f>
        <v>29.423999999999999</v>
      </c>
      <c r="Z163" s="41">
        <f>X163-W163</f>
        <v>24.000000000000011</v>
      </c>
      <c r="AA163" s="41">
        <f>Y163-W163</f>
        <v>23.11000000000001</v>
      </c>
      <c r="AB163" s="28">
        <f>HYPERLINK("[N&amp;P Old retention.xlsx]'Coastal N Reductions'!BS7", 2489.9999999939)</f>
        <v>2489.9999999939</v>
      </c>
      <c r="AC163" s="28">
        <f>HYPERLINK("[N&amp;P New retention.xlsx]'Coastal N Reductions'!BS7", 2489.9999999939)</f>
        <v>2489.9999999939</v>
      </c>
      <c r="AD163" s="28">
        <f>HYPERLINK("[N&amp;P with New retention and Differentiation.xlsx]'Coastal N Reductions'!BS7", 2489.9999999939)</f>
        <v>2489.9999999939</v>
      </c>
      <c r="AE163" s="13"/>
      <c r="AF163" s="13"/>
      <c r="AG163" s="43">
        <f>HYPERLINK("[N&amp;P Old retention.xlsx]'Coastal N Reductions'!BH7", 3.23000000000001)</f>
        <v>3.2300000000000102</v>
      </c>
      <c r="AH163" s="43">
        <f>HYPERLINK("[N&amp;P New retention.xlsx]'Coastal N Reductions'!BH7", 9.56200000000001)</f>
        <v>9.56200000000001</v>
      </c>
      <c r="AI163" s="43">
        <f>HYPERLINK("[N&amp;P with New retention and Differentiation.xlsx]'Coastal N Reductions'!BH7", 9.64200000000001)</f>
        <v>9.6420000000000101</v>
      </c>
      <c r="AJ163" s="41">
        <f>AH163-AG163</f>
        <v>6.3319999999999999</v>
      </c>
      <c r="AK163" s="41">
        <f>AI163-AG163</f>
        <v>6.4119999999999999</v>
      </c>
      <c r="AL163" s="43">
        <f>HYPERLINK("[N&amp;P Old retention.xlsx]'Coastal N Reductions'!AZ7", 222.4782)</f>
        <v>222.47819999999999</v>
      </c>
      <c r="AM163" s="43">
        <f>HYPERLINK("[N&amp;P New retention.xlsx]'Coastal N Reductions'!AZ7", 191.4948)</f>
        <v>191.4948</v>
      </c>
      <c r="AN163" s="43">
        <f>HYPERLINK("[N&amp;P with New retention and Differentiation.xlsx]'Coastal N Reductions'!AZ7", 193.6428)</f>
        <v>193.64279999999999</v>
      </c>
      <c r="AO163" s="42">
        <f>AM163-AL163</f>
        <v>-30.983399999999989</v>
      </c>
      <c r="AP163" s="42">
        <f>AN163-AL163</f>
        <v>-28.835399999999993</v>
      </c>
      <c r="AQ163" s="13"/>
      <c r="AR163" s="43">
        <f>HYPERLINK("[N&amp;P New retention.xlsx]'Coastal N Reductions'!BE7", 0.072)</f>
        <v>7.1999999999999995E-2</v>
      </c>
      <c r="AS163" s="43">
        <f>HYPERLINK("[N&amp;P with New retention and Differentiation.xlsx]'Coastal N Reductions'!BE7", 1.542)</f>
        <v>1.542</v>
      </c>
      <c r="AT163" s="41">
        <f>AR163-AQ163</f>
        <v>7.1999999999999995E-2</v>
      </c>
      <c r="AU163" s="41">
        <f>AS163-AQ163</f>
        <v>1.542</v>
      </c>
      <c r="AV163" s="13"/>
      <c r="AW163" s="13"/>
      <c r="AX163" s="13"/>
      <c r="AY163" s="13"/>
      <c r="AZ163" s="13"/>
      <c r="BA163" s="43">
        <f>HYPERLINK("[N&amp;P Old retention.xlsx]'Coastal N Reductions'!BP7", 563.78)</f>
        <v>563.78</v>
      </c>
      <c r="BB163" s="43">
        <f>HYPERLINK("[N&amp;P New retention.xlsx]'Coastal N Reductions'!BP7", 545.99)</f>
        <v>545.99</v>
      </c>
      <c r="BC163" s="43">
        <f>HYPERLINK("[N&amp;P with New retention and Differentiation.xlsx]'Coastal N Reductions'!BP7", 559.798)</f>
        <v>559.798</v>
      </c>
      <c r="BD163" s="42">
        <f>BB163-BA163</f>
        <v>-17.789999999999964</v>
      </c>
      <c r="BE163" s="42">
        <f>BC163-BA163</f>
        <v>-3.9819999999999709</v>
      </c>
      <c r="BF163" s="13"/>
      <c r="BG163" s="13"/>
      <c r="BH163" s="13"/>
      <c r="BI163" s="13"/>
      <c r="BJ163" s="13"/>
    </row>
    <row r="164" spans="1:62" x14ac:dyDescent="0.55000000000000004">
      <c r="A164" s="30">
        <v>106</v>
      </c>
      <c r="B164" s="6" t="s">
        <v>200</v>
      </c>
      <c r="C164" s="40">
        <f>HYPERLINK("[N&amp;P Old retention.xlsx]'Coastal N Reductions'!BD8", 1087.616)</f>
        <v>1087.616</v>
      </c>
      <c r="D164" s="40">
        <f>HYPERLINK("[N&amp;P New retention.xlsx]'Coastal N Reductions'!BD8", 2747.106)</f>
        <v>2747.1060000000002</v>
      </c>
      <c r="E164" s="40">
        <f>HYPERLINK("[N&amp;P with New retention and Differentiation.xlsx]'Coastal N Reductions'!BD8", 3641.846)</f>
        <v>3641.846</v>
      </c>
      <c r="F164" s="41">
        <f>D164-C164</f>
        <v>1659.4900000000002</v>
      </c>
      <c r="G164" s="41">
        <f>E164-C164</f>
        <v>2554.23</v>
      </c>
      <c r="H164" s="40">
        <f>HYPERLINK("[N&amp;P Old retention.xlsx]'Coastal N Reductions'!AV8", 194.986)</f>
        <v>194.98599999999999</v>
      </c>
      <c r="I164" s="40">
        <f>HYPERLINK("[N&amp;P New retention.xlsx]'Coastal N Reductions'!AV8", 230.18)</f>
        <v>230.18</v>
      </c>
      <c r="J164" s="40">
        <f>HYPERLINK("[N&amp;P with New retention and Differentiation.xlsx]'Coastal N Reductions'!AV8", 194.374)</f>
        <v>194.374</v>
      </c>
      <c r="K164" s="41">
        <f>I164-H164</f>
        <v>35.194000000000017</v>
      </c>
      <c r="L164" s="42">
        <f>J164-H164</f>
        <v>-0.61199999999999477</v>
      </c>
      <c r="M164" s="40">
        <f>HYPERLINK("[N&amp;P Old retention.xlsx]'Coastal N Reductions'!AX8", 32.348)</f>
        <v>32.347999999999999</v>
      </c>
      <c r="N164" s="40">
        <f>HYPERLINK("[N&amp;P New retention.xlsx]'Coastal N Reductions'!AX8", 26.86)</f>
        <v>26.86</v>
      </c>
      <c r="O164" s="40">
        <f>HYPERLINK("[N&amp;P with New retention and Differentiation.xlsx]'Coastal N Reductions'!AX8", 26.86)</f>
        <v>26.86</v>
      </c>
      <c r="P164" s="42">
        <f>N164-M164</f>
        <v>-5.4879999999999995</v>
      </c>
      <c r="Q164" s="42">
        <f>O164-M164</f>
        <v>-5.4879999999999995</v>
      </c>
      <c r="R164" s="40">
        <f>HYPERLINK("[N&amp;P Old retention.xlsx]'Coastal N Reductions'!BF8", 3549.538)</f>
        <v>3549.538</v>
      </c>
      <c r="S164" s="40">
        <f>HYPERLINK("[N&amp;P New retention.xlsx]'Coastal N Reductions'!BF8", 1865.378)</f>
        <v>1865.3779999999999</v>
      </c>
      <c r="T164" s="40">
        <f>HYPERLINK("[N&amp;P with New retention and Differentiation.xlsx]'Coastal N Reductions'!BF8", 966.338)</f>
        <v>966.33799999999997</v>
      </c>
      <c r="U164" s="42">
        <f>S164-R164</f>
        <v>-1684.16</v>
      </c>
      <c r="V164" s="42">
        <f>T164-R164</f>
        <v>-2583.1999999999998</v>
      </c>
      <c r="W164" s="40">
        <f>HYPERLINK("[N&amp;P Old retention.xlsx]'Coastal N Reductions'!BI8", 0.886)</f>
        <v>0.88600000000000001</v>
      </c>
      <c r="X164" s="40">
        <f>HYPERLINK("[N&amp;P New retention.xlsx]'Coastal N Reductions'!BI8", 7.216)</f>
        <v>7.2160000000000002</v>
      </c>
      <c r="Y164" s="40">
        <f>HYPERLINK("[N&amp;P with New retention and Differentiation.xlsx]'Coastal N Reductions'!BI8", 7.216)</f>
        <v>7.2160000000000002</v>
      </c>
      <c r="Z164" s="41">
        <f>X164-W164</f>
        <v>6.33</v>
      </c>
      <c r="AA164" s="41">
        <f>Y164-W164</f>
        <v>6.33</v>
      </c>
      <c r="AB164" s="26">
        <f>HYPERLINK("[N&amp;P Old retention.xlsx]'Coastal N Reductions'!BS8", 3929.99999999981)</f>
        <v>3929.9999999998099</v>
      </c>
      <c r="AC164" s="26">
        <f>HYPERLINK("[N&amp;P New retention.xlsx]'Coastal N Reductions'!BS8", 3929.99999999981)</f>
        <v>3929.9999999998099</v>
      </c>
      <c r="AD164" s="26">
        <f>HYPERLINK("[N&amp;P with New retention and Differentiation.xlsx]'Coastal N Reductions'!BS8", 3929.99999999981)</f>
        <v>3929.9999999998099</v>
      </c>
      <c r="AE164" s="18"/>
      <c r="AF164" s="18"/>
      <c r="AG164" s="40">
        <f>HYPERLINK("[N&amp;P Old retention.xlsx]'Coastal N Reductions'!BH8", 14.83)</f>
        <v>14.83</v>
      </c>
      <c r="AH164" s="40">
        <f>HYPERLINK("[N&amp;P New retention.xlsx]'Coastal N Reductions'!BH8", 35.656)</f>
        <v>35.655999999999999</v>
      </c>
      <c r="AI164" s="40">
        <f>HYPERLINK("[N&amp;P with New retention and Differentiation.xlsx]'Coastal N Reductions'!BH8", 34.936)</f>
        <v>34.936</v>
      </c>
      <c r="AJ164" s="41">
        <f>AH164-AG164</f>
        <v>20.826000000000001</v>
      </c>
      <c r="AK164" s="41">
        <f>AI164-AG164</f>
        <v>20.106000000000002</v>
      </c>
      <c r="AL164" s="40">
        <f>HYPERLINK("[N&amp;P Old retention.xlsx]'Coastal N Reductions'!AZ8", 210.0366)</f>
        <v>210.03659999999999</v>
      </c>
      <c r="AM164" s="40">
        <f>HYPERLINK("[N&amp;P New retention.xlsx]'Coastal N Reductions'!AZ8", 420.1662)</f>
        <v>420.1662</v>
      </c>
      <c r="AN164" s="40">
        <f>HYPERLINK("[N&amp;P with New retention and Differentiation.xlsx]'Coastal N Reductions'!AZ8", 425.3868)</f>
        <v>425.38679999999999</v>
      </c>
      <c r="AO164" s="41">
        <f>AM164-AL164</f>
        <v>210.12960000000001</v>
      </c>
      <c r="AP164" s="41">
        <f>AN164-AL164</f>
        <v>215.3502</v>
      </c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40">
        <f>HYPERLINK("[N&amp;P Old retention.xlsx]'Coastal N Reductions'!BP8", 44.84)</f>
        <v>44.84</v>
      </c>
      <c r="BB164" s="40">
        <f>HYPERLINK("[N&amp;P New retention.xlsx]'Coastal N Reductions'!BP8", 43.206)</f>
        <v>43.206000000000003</v>
      </c>
      <c r="BC164" s="40">
        <f>HYPERLINK("[N&amp;P with New retention and Differentiation.xlsx]'Coastal N Reductions'!BP8", 61.704)</f>
        <v>61.704000000000001</v>
      </c>
      <c r="BD164" s="42">
        <f>BB164-BA164</f>
        <v>-1.6340000000000003</v>
      </c>
      <c r="BE164" s="41">
        <f>BC164-BA164</f>
        <v>16.863999999999997</v>
      </c>
      <c r="BF164" s="18"/>
      <c r="BG164" s="18"/>
      <c r="BH164" s="18"/>
      <c r="BI164" s="18"/>
      <c r="BJ164" s="18"/>
    </row>
    <row r="165" spans="1:62" x14ac:dyDescent="0.55000000000000004">
      <c r="A165" s="31">
        <v>107</v>
      </c>
      <c r="B165" s="5" t="s">
        <v>201</v>
      </c>
      <c r="C165" s="43">
        <f>HYPERLINK("[N&amp;P Old retention.xlsx]'Coastal N Reductions'!BD9", 3.904)</f>
        <v>3.9039999999999999</v>
      </c>
      <c r="D165" s="13"/>
      <c r="E165" s="13"/>
      <c r="F165" s="42">
        <f>D165-C165</f>
        <v>-3.9039999999999999</v>
      </c>
      <c r="G165" s="42">
        <f>E165-C165</f>
        <v>-3.9039999999999999</v>
      </c>
      <c r="H165" s="43">
        <f>HYPERLINK("[N&amp;P Old retention.xlsx]'Coastal N Reductions'!AV9", 58.27)</f>
        <v>58.27</v>
      </c>
      <c r="I165" s="43">
        <f>HYPERLINK("[N&amp;P New retention.xlsx]'Coastal N Reductions'!AV9", 389.32)</f>
        <v>389.32</v>
      </c>
      <c r="J165" s="43">
        <f>HYPERLINK("[N&amp;P with New retention and Differentiation.xlsx]'Coastal N Reductions'!AV9", 389.32)</f>
        <v>389.32</v>
      </c>
      <c r="K165" s="41">
        <f>I165-H165</f>
        <v>331.05</v>
      </c>
      <c r="L165" s="41">
        <f>J165-H165</f>
        <v>331.05</v>
      </c>
      <c r="M165" s="43">
        <f>HYPERLINK("[N&amp;P Old retention.xlsx]'Coastal N Reductions'!AX9", 5.42)</f>
        <v>5.42</v>
      </c>
      <c r="N165" s="43">
        <f>HYPERLINK("[N&amp;P New retention.xlsx]'Coastal N Reductions'!AX9", 17.3)</f>
        <v>17.3</v>
      </c>
      <c r="O165" s="43">
        <f>HYPERLINK("[N&amp;P with New retention and Differentiation.xlsx]'Coastal N Reductions'!AX9", 17.3)</f>
        <v>17.3</v>
      </c>
      <c r="P165" s="41">
        <f>N165-M165</f>
        <v>11.88</v>
      </c>
      <c r="Q165" s="41">
        <f>O165-M165</f>
        <v>11.88</v>
      </c>
      <c r="R165" s="43">
        <f>HYPERLINK("[N&amp;P Old retention.xlsx]'Coastal N Reductions'!BF9", 118.79)</f>
        <v>118.79</v>
      </c>
      <c r="S165" s="43">
        <f>HYPERLINK("[N&amp;P New retention.xlsx]'Coastal N Reductions'!BF9", 318.48)</f>
        <v>318.48</v>
      </c>
      <c r="T165" s="43">
        <f>HYPERLINK("[N&amp;P with New retention and Differentiation.xlsx]'Coastal N Reductions'!BF9", 289.8)</f>
        <v>289.8</v>
      </c>
      <c r="U165" s="41">
        <f>S165-R165</f>
        <v>199.69</v>
      </c>
      <c r="V165" s="41">
        <f>T165-R165</f>
        <v>171.01</v>
      </c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43">
        <f>HYPERLINK("[N&amp;P Old retention.xlsx]'Coastal N Reductions'!BH9", 930.597672395996)</f>
        <v>930.59767239599603</v>
      </c>
      <c r="AH165" s="43">
        <f>HYPERLINK("[N&amp;P New retention.xlsx]'Coastal N Reductions'!BH9", 768.644289979273)</f>
        <v>768.64428997927303</v>
      </c>
      <c r="AI165" s="43">
        <f>HYPERLINK("[N&amp;P with New retention and Differentiation.xlsx]'Coastal N Reductions'!BH9", 785.016289979273)</f>
        <v>785.01628997927298</v>
      </c>
      <c r="AJ165" s="42">
        <f>AH165-AG165</f>
        <v>-161.953382416723</v>
      </c>
      <c r="AK165" s="42">
        <f>AI165-AG165</f>
        <v>-145.58138241672305</v>
      </c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</row>
    <row r="166" spans="1:62" x14ac:dyDescent="0.55000000000000004">
      <c r="A166" s="30">
        <v>108</v>
      </c>
      <c r="B166" s="6" t="s">
        <v>202</v>
      </c>
      <c r="C166" s="40">
        <f>HYPERLINK("[N&amp;P Old retention.xlsx]'Coastal N Reductions'!BD10", 586.226)</f>
        <v>586.226</v>
      </c>
      <c r="D166" s="40">
        <f>HYPERLINK("[N&amp;P New retention.xlsx]'Coastal N Reductions'!BD10", 464.516)</f>
        <v>464.51600000000002</v>
      </c>
      <c r="E166" s="40">
        <f>HYPERLINK("[N&amp;P with New retention and Differentiation.xlsx]'Coastal N Reductions'!BD10", 492.046)</f>
        <v>492.04599999999999</v>
      </c>
      <c r="F166" s="42">
        <f>D166-C166</f>
        <v>-121.70999999999998</v>
      </c>
      <c r="G166" s="42">
        <f>E166-C166</f>
        <v>-94.18</v>
      </c>
      <c r="H166" s="40">
        <f>HYPERLINK("[N&amp;P Old retention.xlsx]'Coastal N Reductions'!AV10", 242.046)</f>
        <v>242.04599999999999</v>
      </c>
      <c r="I166" s="40">
        <f>HYPERLINK("[N&amp;P New retention.xlsx]'Coastal N Reductions'!AV10", 329.756)</f>
        <v>329.75599999999997</v>
      </c>
      <c r="J166" s="40">
        <f>HYPERLINK("[N&amp;P with New retention and Differentiation.xlsx]'Coastal N Reductions'!AV10", 333.956)</f>
        <v>333.95600000000002</v>
      </c>
      <c r="K166" s="41">
        <f>I166-H166</f>
        <v>87.70999999999998</v>
      </c>
      <c r="L166" s="41">
        <f>J166-H166</f>
        <v>91.910000000000025</v>
      </c>
      <c r="M166" s="40">
        <f>HYPERLINK("[N&amp;P Old retention.xlsx]'Coastal N Reductions'!AX10", 294.686)</f>
        <v>294.68599999999998</v>
      </c>
      <c r="N166" s="40">
        <f>HYPERLINK("[N&amp;P New retention.xlsx]'Coastal N Reductions'!AX10", 383.186)</f>
        <v>383.18599999999998</v>
      </c>
      <c r="O166" s="40">
        <f>HYPERLINK("[N&amp;P with New retention and Differentiation.xlsx]'Coastal N Reductions'!AX10", 371.866)</f>
        <v>371.86599999999999</v>
      </c>
      <c r="P166" s="41">
        <f>N166-M166</f>
        <v>88.5</v>
      </c>
      <c r="Q166" s="41">
        <f>O166-M166</f>
        <v>77.180000000000007</v>
      </c>
      <c r="R166" s="40">
        <f>HYPERLINK("[N&amp;P Old retention.xlsx]'Coastal N Reductions'!BF10", 96.23)</f>
        <v>96.23</v>
      </c>
      <c r="S166" s="40">
        <f>HYPERLINK("[N&amp;P New retention.xlsx]'Coastal N Reductions'!BF10", 96.23)</f>
        <v>96.23</v>
      </c>
      <c r="T166" s="40">
        <f>HYPERLINK("[N&amp;P with New retention and Differentiation.xlsx]'Coastal N Reductions'!BF10", 77.52)</f>
        <v>77.52</v>
      </c>
      <c r="U166" s="18"/>
      <c r="V166" s="42">
        <f>T166-R166</f>
        <v>-18.710000000000008</v>
      </c>
      <c r="W166" s="40">
        <f>HYPERLINK("[N&amp;P Old retention.xlsx]'Coastal N Reductions'!BI10", 15.498)</f>
        <v>15.497999999999999</v>
      </c>
      <c r="X166" s="40">
        <f>HYPERLINK("[N&amp;P New retention.xlsx]'Coastal N Reductions'!BI10", 16.338)</f>
        <v>16.338000000000001</v>
      </c>
      <c r="Y166" s="40">
        <f>HYPERLINK("[N&amp;P with New retention and Differentiation.xlsx]'Coastal N Reductions'!BI10", 16.338)</f>
        <v>16.338000000000001</v>
      </c>
      <c r="Z166" s="41">
        <f>X166-W166</f>
        <v>0.84000000000000163</v>
      </c>
      <c r="AA166" s="41">
        <f>Y166-W166</f>
        <v>0.84000000000000163</v>
      </c>
      <c r="AB166" s="18"/>
      <c r="AC166" s="26">
        <f>HYPERLINK("[N&amp;P New retention.xlsx]'Coastal N Reductions'!BS10", 2000)</f>
        <v>2000</v>
      </c>
      <c r="AD166" s="26">
        <f>HYPERLINK("[N&amp;P with New retention and Differentiation.xlsx]'Coastal N Reductions'!BS10", 2000)</f>
        <v>2000</v>
      </c>
      <c r="AE166" s="16">
        <f>AC166-AB166</f>
        <v>2000</v>
      </c>
      <c r="AF166" s="16">
        <f>AD166-AB166</f>
        <v>2000</v>
      </c>
      <c r="AG166" s="40">
        <f>HYPERLINK("[N&amp;P Old retention.xlsx]'Coastal N Reductions'!BH10", 22.244)</f>
        <v>22.244</v>
      </c>
      <c r="AH166" s="40">
        <f>HYPERLINK("[N&amp;P New retention.xlsx]'Coastal N Reductions'!BH10", 27.678)</f>
        <v>27.678000000000001</v>
      </c>
      <c r="AI166" s="40">
        <f>HYPERLINK("[N&amp;P with New retention and Differentiation.xlsx]'Coastal N Reductions'!BH10", 27.058)</f>
        <v>27.058</v>
      </c>
      <c r="AJ166" s="41">
        <f>AH166-AG166</f>
        <v>5.4340000000000011</v>
      </c>
      <c r="AK166" s="41">
        <f>AI166-AG166</f>
        <v>4.8140000000000001</v>
      </c>
      <c r="AL166" s="40">
        <f>HYPERLINK("[N&amp;P Old retention.xlsx]'Coastal N Reductions'!AZ10", 121.4076)</f>
        <v>121.4076</v>
      </c>
      <c r="AM166" s="40">
        <f>HYPERLINK("[N&amp;P New retention.xlsx]'Coastal N Reductions'!AZ10", 100.6992)</f>
        <v>100.6992</v>
      </c>
      <c r="AN166" s="40">
        <f>HYPERLINK("[N&amp;P with New retention and Differentiation.xlsx]'Coastal N Reductions'!AZ10", 96.9642)</f>
        <v>96.964200000000005</v>
      </c>
      <c r="AO166" s="42">
        <f>AM166-AL166</f>
        <v>-20.708399999999997</v>
      </c>
      <c r="AP166" s="42">
        <f>AN166-AL166</f>
        <v>-24.443399999999997</v>
      </c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</row>
    <row r="167" spans="1:62" x14ac:dyDescent="0.55000000000000004">
      <c r="A167" s="31">
        <v>109</v>
      </c>
      <c r="B167" s="5" t="s">
        <v>203</v>
      </c>
      <c r="C167" s="43">
        <f>HYPERLINK("[N&amp;P Old retention.xlsx]'Coastal N Reductions'!BD11", 1335.918)</f>
        <v>1335.9179999999999</v>
      </c>
      <c r="D167" s="43">
        <f>HYPERLINK("[N&amp;P New retention.xlsx]'Coastal N Reductions'!BD11", 1432.898)</f>
        <v>1432.8979999999999</v>
      </c>
      <c r="E167" s="43">
        <f>HYPERLINK("[N&amp;P with New retention and Differentiation.xlsx]'Coastal N Reductions'!BD11", 1432.898)</f>
        <v>1432.8979999999999</v>
      </c>
      <c r="F167" s="41">
        <f>D167-C167</f>
        <v>96.980000000000018</v>
      </c>
      <c r="G167" s="41">
        <f>E167-C167</f>
        <v>96.980000000000018</v>
      </c>
      <c r="H167" s="43">
        <f>HYPERLINK("[N&amp;P Old retention.xlsx]'Coastal N Reductions'!AV11", 492.174)</f>
        <v>492.17399999999998</v>
      </c>
      <c r="I167" s="43">
        <f>HYPERLINK("[N&amp;P New retention.xlsx]'Coastal N Reductions'!AV11", 428.294)</f>
        <v>428.29399999999998</v>
      </c>
      <c r="J167" s="43">
        <f>HYPERLINK("[N&amp;P with New retention and Differentiation.xlsx]'Coastal N Reductions'!AV11", 430.566)</f>
        <v>430.56599999999997</v>
      </c>
      <c r="K167" s="42">
        <f>I167-H167</f>
        <v>-63.879999999999995</v>
      </c>
      <c r="L167" s="42">
        <f>J167-H167</f>
        <v>-61.608000000000004</v>
      </c>
      <c r="M167" s="43">
        <f>HYPERLINK("[N&amp;P Old retention.xlsx]'Coastal N Reductions'!AX11", 883.742)</f>
        <v>883.74199999999996</v>
      </c>
      <c r="N167" s="43">
        <f>HYPERLINK("[N&amp;P New retention.xlsx]'Coastal N Reductions'!AX11", 1093.552)</f>
        <v>1093.5519999999999</v>
      </c>
      <c r="O167" s="43">
        <f>HYPERLINK("[N&amp;P with New retention and Differentiation.xlsx]'Coastal N Reductions'!AX11", 1095.728)</f>
        <v>1095.7280000000001</v>
      </c>
      <c r="P167" s="41">
        <f>N167-M167</f>
        <v>209.80999999999995</v>
      </c>
      <c r="Q167" s="41">
        <f>O167-M167</f>
        <v>211.9860000000001</v>
      </c>
      <c r="R167" s="43">
        <f>HYPERLINK("[N&amp;P Old retention.xlsx]'Coastal N Reductions'!BF11", 81.14)</f>
        <v>81.14</v>
      </c>
      <c r="S167" s="43">
        <f>HYPERLINK("[N&amp;P New retention.xlsx]'Coastal N Reductions'!BF11", 110.49)</f>
        <v>110.49</v>
      </c>
      <c r="T167" s="43">
        <f>HYPERLINK("[N&amp;P with New retention and Differentiation.xlsx]'Coastal N Reductions'!BF11", 110.592)</f>
        <v>110.592</v>
      </c>
      <c r="U167" s="41">
        <f>S167-R167</f>
        <v>29.349999999999994</v>
      </c>
      <c r="V167" s="41">
        <f>T167-R167</f>
        <v>29.451999999999998</v>
      </c>
      <c r="W167" s="43">
        <f>HYPERLINK("[N&amp;P Old retention.xlsx]'Coastal N Reductions'!BI11", 22.288)</f>
        <v>22.288</v>
      </c>
      <c r="X167" s="43">
        <f>HYPERLINK("[N&amp;P New retention.xlsx]'Coastal N Reductions'!BI11", 22.658)</f>
        <v>22.658000000000001</v>
      </c>
      <c r="Y167" s="43">
        <f>HYPERLINK("[N&amp;P with New retention and Differentiation.xlsx]'Coastal N Reductions'!BI11", 22.658)</f>
        <v>22.658000000000001</v>
      </c>
      <c r="Z167" s="41">
        <f>X167-W167</f>
        <v>0.37000000000000099</v>
      </c>
      <c r="AA167" s="41">
        <f>Y167-W167</f>
        <v>0.37000000000000099</v>
      </c>
      <c r="AB167" s="13"/>
      <c r="AC167" s="28">
        <f>HYPERLINK("[N&amp;P New retention.xlsx]'Coastal N Reductions'!BS11", 2800)</f>
        <v>2800</v>
      </c>
      <c r="AD167" s="28">
        <f>HYPERLINK("[N&amp;P with New retention and Differentiation.xlsx]'Coastal N Reductions'!BS11", 2800)</f>
        <v>2800</v>
      </c>
      <c r="AE167" s="16">
        <f>AC167-AB167</f>
        <v>2800</v>
      </c>
      <c r="AF167" s="16">
        <f>AD167-AB167</f>
        <v>2800</v>
      </c>
      <c r="AG167" s="43">
        <f>HYPERLINK("[N&amp;P Old retention.xlsx]'Coastal N Reductions'!BH11", 93.198)</f>
        <v>93.197999999999993</v>
      </c>
      <c r="AH167" s="43">
        <f>HYPERLINK("[N&amp;P New retention.xlsx]'Coastal N Reductions'!BH11", 121.768)</f>
        <v>121.768</v>
      </c>
      <c r="AI167" s="43">
        <f>HYPERLINK("[N&amp;P with New retention and Differentiation.xlsx]'Coastal N Reductions'!BH11", 121.768)</f>
        <v>121.768</v>
      </c>
      <c r="AJ167" s="41">
        <f>AH167-AG167</f>
        <v>28.570000000000007</v>
      </c>
      <c r="AK167" s="41">
        <f>AI167-AG167</f>
        <v>28.570000000000007</v>
      </c>
      <c r="AL167" s="43">
        <f>HYPERLINK("[N&amp;P Old retention.xlsx]'Coastal N Reductions'!AZ11", 385.4946)</f>
        <v>385.49459999999999</v>
      </c>
      <c r="AM167" s="43">
        <f>HYPERLINK("[N&amp;P New retention.xlsx]'Coastal N Reductions'!AZ11", 307.8924)</f>
        <v>307.89240000000001</v>
      </c>
      <c r="AN167" s="43">
        <f>HYPERLINK("[N&amp;P with New retention and Differentiation.xlsx]'Coastal N Reductions'!AZ11", 307.8924)</f>
        <v>307.89240000000001</v>
      </c>
      <c r="AO167" s="42">
        <f>AM167-AL167</f>
        <v>-77.602199999999982</v>
      </c>
      <c r="AP167" s="42">
        <f>AN167-AL167</f>
        <v>-77.602199999999982</v>
      </c>
      <c r="AQ167" s="13"/>
      <c r="AR167" s="43">
        <f>HYPERLINK("[N&amp;P New retention.xlsx]'Coastal N Reductions'!BE11", 3.932)</f>
        <v>3.9319999999999999</v>
      </c>
      <c r="AS167" s="43">
        <f>HYPERLINK("[N&amp;P with New retention and Differentiation.xlsx]'Coastal N Reductions'!BE11", 3.932)</f>
        <v>3.9319999999999999</v>
      </c>
      <c r="AT167" s="41">
        <f>AR167-AQ167</f>
        <v>3.9319999999999999</v>
      </c>
      <c r="AU167" s="41">
        <f>AS167-AQ167</f>
        <v>3.9319999999999999</v>
      </c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</row>
    <row r="168" spans="1:62" x14ac:dyDescent="0.55000000000000004">
      <c r="A168" s="30">
        <v>110</v>
      </c>
      <c r="B168" s="6" t="s">
        <v>204</v>
      </c>
      <c r="C168" s="40">
        <f>HYPERLINK("[N&amp;P Old retention.xlsx]'Coastal N Reductions'!BD12", 437.47)</f>
        <v>437.47</v>
      </c>
      <c r="D168" s="40">
        <f>HYPERLINK("[N&amp;P New retention.xlsx]'Coastal N Reductions'!BD12", 450.492)</f>
        <v>450.49200000000002</v>
      </c>
      <c r="E168" s="40">
        <f>HYPERLINK("[N&amp;P with New retention and Differentiation.xlsx]'Coastal N Reductions'!BD12", 490.902)</f>
        <v>490.90199999999999</v>
      </c>
      <c r="F168" s="41">
        <f>D168-C168</f>
        <v>13.021999999999991</v>
      </c>
      <c r="G168" s="41">
        <f>E168-C168</f>
        <v>53.43199999999996</v>
      </c>
      <c r="H168" s="40">
        <f>HYPERLINK("[N&amp;P Old retention.xlsx]'Coastal N Reductions'!AV12", 269.258)</f>
        <v>269.25799999999998</v>
      </c>
      <c r="I168" s="40">
        <f>HYPERLINK("[N&amp;P New retention.xlsx]'Coastal N Reductions'!AV12", 258.582)</f>
        <v>258.58199999999999</v>
      </c>
      <c r="J168" s="40">
        <f>HYPERLINK("[N&amp;P with New retention and Differentiation.xlsx]'Coastal N Reductions'!AV12", 258.502)</f>
        <v>258.50200000000001</v>
      </c>
      <c r="K168" s="42">
        <f>I168-H168</f>
        <v>-10.675999999999988</v>
      </c>
      <c r="L168" s="42">
        <f>J168-H168</f>
        <v>-10.755999999999972</v>
      </c>
      <c r="M168" s="40">
        <f>HYPERLINK("[N&amp;P Old retention.xlsx]'Coastal N Reductions'!AX12", 97.48)</f>
        <v>97.48</v>
      </c>
      <c r="N168" s="40">
        <f>HYPERLINK("[N&amp;P New retention.xlsx]'Coastal N Reductions'!AX12", 203.14)</f>
        <v>203.14</v>
      </c>
      <c r="O168" s="40">
        <f>HYPERLINK("[N&amp;P with New retention and Differentiation.xlsx]'Coastal N Reductions'!AX12", 208.62)</f>
        <v>208.62</v>
      </c>
      <c r="P168" s="41">
        <f>N168-M168</f>
        <v>105.65999999999998</v>
      </c>
      <c r="Q168" s="41">
        <f>O168-M168</f>
        <v>111.14</v>
      </c>
      <c r="R168" s="40">
        <f>HYPERLINK("[N&amp;P Old retention.xlsx]'Coastal N Reductions'!BF12", 2.13)</f>
        <v>2.13</v>
      </c>
      <c r="S168" s="40">
        <f>HYPERLINK("[N&amp;P New retention.xlsx]'Coastal N Reductions'!BF12", 41.92)</f>
        <v>41.92</v>
      </c>
      <c r="T168" s="40">
        <f>HYPERLINK("[N&amp;P with New retention and Differentiation.xlsx]'Coastal N Reductions'!BF12", 3.18)</f>
        <v>3.18</v>
      </c>
      <c r="U168" s="41">
        <f>S168-R168</f>
        <v>39.79</v>
      </c>
      <c r="V168" s="41">
        <f>T168-R168</f>
        <v>1.0500000000000003</v>
      </c>
      <c r="W168" s="40">
        <f>HYPERLINK("[N&amp;P Old retention.xlsx]'Coastal N Reductions'!BI12", 0.104)</f>
        <v>0.104</v>
      </c>
      <c r="X168" s="40">
        <f>HYPERLINK("[N&amp;P New retention.xlsx]'Coastal N Reductions'!BI12", 0.104)</f>
        <v>0.104</v>
      </c>
      <c r="Y168" s="40">
        <f>HYPERLINK("[N&amp;P with New retention and Differentiation.xlsx]'Coastal N Reductions'!BI12", 0.104)</f>
        <v>0.104</v>
      </c>
      <c r="Z168" s="18"/>
      <c r="AA168" s="18"/>
      <c r="AB168" s="26">
        <f>HYPERLINK("[N&amp;P Old retention.xlsx]'Coastal N Reductions'!BS12", 300)</f>
        <v>300</v>
      </c>
      <c r="AC168" s="26">
        <f>HYPERLINK("[N&amp;P New retention.xlsx]'Coastal N Reductions'!BS12", 500)</f>
        <v>500</v>
      </c>
      <c r="AD168" s="26">
        <f>HYPERLINK("[N&amp;P with New retention and Differentiation.xlsx]'Coastal N Reductions'!BS12", 500)</f>
        <v>500</v>
      </c>
      <c r="AE168" s="16">
        <f>AC168-AB168</f>
        <v>200</v>
      </c>
      <c r="AF168" s="16">
        <f>AD168-AB168</f>
        <v>200</v>
      </c>
      <c r="AG168" s="40">
        <f>HYPERLINK("[N&amp;P Old retention.xlsx]'Coastal N Reductions'!BH12", 51.29)</f>
        <v>51.29</v>
      </c>
      <c r="AH168" s="40">
        <f>HYPERLINK("[N&amp;P New retention.xlsx]'Coastal N Reductions'!BH12", 54.76)</f>
        <v>54.76</v>
      </c>
      <c r="AI168" s="40">
        <f>HYPERLINK("[N&amp;P with New retention and Differentiation.xlsx]'Coastal N Reductions'!BH12", 54.55)</f>
        <v>54.55</v>
      </c>
      <c r="AJ168" s="41">
        <f>AH168-AG168</f>
        <v>3.4699999999999989</v>
      </c>
      <c r="AK168" s="41">
        <f>AI168-AG168</f>
        <v>3.259999999999998</v>
      </c>
      <c r="AL168" s="40">
        <f>HYPERLINK("[N&amp;P Old retention.xlsx]'Coastal N Reductions'!AZ12", 238.8762)</f>
        <v>238.87620000000001</v>
      </c>
      <c r="AM168" s="40">
        <f>HYPERLINK("[N&amp;P New retention.xlsx]'Coastal N Reductions'!AZ12", 214.4514)</f>
        <v>214.45140000000001</v>
      </c>
      <c r="AN168" s="40">
        <f>HYPERLINK("[N&amp;P with New retention and Differentiation.xlsx]'Coastal N Reductions'!AZ12", 214.4514)</f>
        <v>214.45140000000001</v>
      </c>
      <c r="AO168" s="42">
        <f>AM168-AL168</f>
        <v>-24.424800000000005</v>
      </c>
      <c r="AP168" s="42">
        <f>AN168-AL168</f>
        <v>-24.424800000000005</v>
      </c>
      <c r="AQ168" s="40">
        <f>HYPERLINK("[N&amp;P Old retention.xlsx]'Coastal N Reductions'!BE12", 0.29)</f>
        <v>0.28999999999999998</v>
      </c>
      <c r="AR168" s="40">
        <f>HYPERLINK("[N&amp;P New retention.xlsx]'Coastal N Reductions'!BE12", 4.202)</f>
        <v>4.202</v>
      </c>
      <c r="AS168" s="40">
        <f>HYPERLINK("[N&amp;P with New retention and Differentiation.xlsx]'Coastal N Reductions'!BE12", 1.192)</f>
        <v>1.1919999999999999</v>
      </c>
      <c r="AT168" s="41">
        <f>AR168-AQ168</f>
        <v>3.9119999999999999</v>
      </c>
      <c r="AU168" s="41">
        <f>AS168-AQ168</f>
        <v>0.90199999999999991</v>
      </c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</row>
    <row r="169" spans="1:62" x14ac:dyDescent="0.55000000000000004">
      <c r="A169" s="31">
        <v>111</v>
      </c>
      <c r="B169" s="5" t="s">
        <v>205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43">
        <f>HYPERLINK("[N&amp;P Old retention.xlsx]'Coastal N Reductions'!BF13", 1884.758)</f>
        <v>1884.758</v>
      </c>
      <c r="S169" s="43">
        <f>HYPERLINK("[N&amp;P New retention.xlsx]'Coastal N Reductions'!BF13", 1884.758)</f>
        <v>1884.758</v>
      </c>
      <c r="T169" s="43">
        <f>HYPERLINK("[N&amp;P with New retention and Differentiation.xlsx]'Coastal N Reductions'!BF13", 1884.758)</f>
        <v>1884.758</v>
      </c>
      <c r="U169" s="13"/>
      <c r="V169" s="13"/>
      <c r="W169" s="13"/>
      <c r="X169" s="13"/>
      <c r="Y169" s="13"/>
      <c r="Z169" s="13"/>
      <c r="AA169" s="13"/>
      <c r="AB169" s="28">
        <f>HYPERLINK("[N&amp;P Old retention.xlsx]'Coastal N Reductions'!BS13", 2030)</f>
        <v>2030</v>
      </c>
      <c r="AC169" s="28">
        <f>HYPERLINK("[N&amp;P New retention.xlsx]'Coastal N Reductions'!BS13", 2030)</f>
        <v>2030</v>
      </c>
      <c r="AD169" s="28">
        <f>HYPERLINK("[N&amp;P with New retention and Differentiation.xlsx]'Coastal N Reductions'!BS13", 2030)</f>
        <v>2030</v>
      </c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43">
        <f>HYPERLINK("[N&amp;P Old retention.xlsx]'Coastal N Reductions'!BP13", 174.992)</f>
        <v>174.99199999999999</v>
      </c>
      <c r="BB169" s="43">
        <f>HYPERLINK("[N&amp;P New retention.xlsx]'Coastal N Reductions'!BP13", 180.162)</f>
        <v>180.16200000000001</v>
      </c>
      <c r="BC169" s="43">
        <f>HYPERLINK("[N&amp;P with New retention and Differentiation.xlsx]'Coastal N Reductions'!BP13", 180.162)</f>
        <v>180.16200000000001</v>
      </c>
      <c r="BD169" s="41">
        <f>BB169-BA169</f>
        <v>5.1700000000000159</v>
      </c>
      <c r="BE169" s="41">
        <f>BC169-BA169</f>
        <v>5.1700000000000159</v>
      </c>
      <c r="BF169" s="13"/>
      <c r="BG169" s="13"/>
      <c r="BH169" s="13"/>
      <c r="BI169" s="13"/>
      <c r="BJ169" s="13"/>
    </row>
    <row r="170" spans="1:62" x14ac:dyDescent="0.55000000000000004">
      <c r="A170" s="30">
        <v>113</v>
      </c>
      <c r="B170" s="6" t="s">
        <v>206</v>
      </c>
      <c r="C170" s="18"/>
      <c r="D170" s="18"/>
      <c r="E170" s="40">
        <f>HYPERLINK("[N&amp;P with New retention and Differentiation.xlsx]'Coastal N Reductions'!BD14", 44.098)</f>
        <v>44.097999999999999</v>
      </c>
      <c r="F170" s="18"/>
      <c r="G170" s="41">
        <f>E170-C170</f>
        <v>44.097999999999999</v>
      </c>
      <c r="H170" s="40">
        <f>HYPERLINK("[N&amp;P Old retention.xlsx]'Coastal N Reductions'!AV14", 51.662)</f>
        <v>51.661999999999999</v>
      </c>
      <c r="I170" s="40">
        <f>HYPERLINK("[N&amp;P New retention.xlsx]'Coastal N Reductions'!AV14", 40.802)</f>
        <v>40.802</v>
      </c>
      <c r="J170" s="40">
        <f>HYPERLINK("[N&amp;P with New retention and Differentiation.xlsx]'Coastal N Reductions'!AV14", 39.466)</f>
        <v>39.466000000000001</v>
      </c>
      <c r="K170" s="42">
        <f>I170-H170</f>
        <v>-10.86</v>
      </c>
      <c r="L170" s="42">
        <f>J170-H170</f>
        <v>-12.195999999999998</v>
      </c>
      <c r="M170" s="40">
        <f>HYPERLINK("[N&amp;P Old retention.xlsx]'Coastal N Reductions'!AX14", 3.324)</f>
        <v>3.3239999999999998</v>
      </c>
      <c r="N170" s="40">
        <f>HYPERLINK("[N&amp;P New retention.xlsx]'Coastal N Reductions'!AX14", 3.324)</f>
        <v>3.3239999999999998</v>
      </c>
      <c r="O170" s="40">
        <f>HYPERLINK("[N&amp;P with New retention and Differentiation.xlsx]'Coastal N Reductions'!AX14", 3.324)</f>
        <v>3.3239999999999998</v>
      </c>
      <c r="P170" s="18"/>
      <c r="Q170" s="18"/>
      <c r="R170" s="40">
        <f>HYPERLINK("[N&amp;P Old retention.xlsx]'Coastal N Reductions'!BF14", 35.798)</f>
        <v>35.798000000000002</v>
      </c>
      <c r="S170" s="40">
        <f>HYPERLINK("[N&amp;P New retention.xlsx]'Coastal N Reductions'!BF14", 49.058)</f>
        <v>49.058</v>
      </c>
      <c r="T170" s="18"/>
      <c r="U170" s="41">
        <f>S170-R170</f>
        <v>13.259999999999998</v>
      </c>
      <c r="V170" s="42">
        <f>T170-R170</f>
        <v>-35.798000000000002</v>
      </c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40">
        <f>HYPERLINK("[N&amp;P Old retention.xlsx]'Coastal N Reductions'!BH14", 9.09400000000001)</f>
        <v>9.0940000000000101</v>
      </c>
      <c r="AH170" s="40">
        <f>HYPERLINK("[N&amp;P New retention.xlsx]'Coastal N Reductions'!BH14", 9.26400000000001)</f>
        <v>9.26400000000001</v>
      </c>
      <c r="AI170" s="40">
        <f>HYPERLINK("[N&amp;P with New retention and Differentiation.xlsx]'Coastal N Reductions'!BH14", 8.944)</f>
        <v>8.9440000000000008</v>
      </c>
      <c r="AJ170" s="41">
        <f>AH170-AG170</f>
        <v>0.16999999999999993</v>
      </c>
      <c r="AK170" s="42">
        <f>AI170-AG170</f>
        <v>-0.15000000000000924</v>
      </c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</row>
    <row r="171" spans="1:62" x14ac:dyDescent="0.55000000000000004">
      <c r="A171" s="31">
        <v>114</v>
      </c>
      <c r="B171" s="5" t="s">
        <v>207</v>
      </c>
      <c r="C171" s="43">
        <f>HYPERLINK("[N&amp;P Old retention.xlsx]'Coastal N Reductions'!BD15", 19.71)</f>
        <v>19.71</v>
      </c>
      <c r="D171" s="43">
        <f>HYPERLINK("[N&amp;P New retention.xlsx]'Coastal N Reductions'!BD15", 19.71)</f>
        <v>19.71</v>
      </c>
      <c r="E171" s="43">
        <f>HYPERLINK("[N&amp;P with New retention and Differentiation.xlsx]'Coastal N Reductions'!BD15", 19.71)</f>
        <v>19.71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</row>
    <row r="172" spans="1:62" x14ac:dyDescent="0.55000000000000004">
      <c r="A172" s="30">
        <v>119</v>
      </c>
      <c r="B172" s="6" t="s">
        <v>208</v>
      </c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40">
        <f>HYPERLINK("[N&amp;P Old retention.xlsx]'Coastal N Reductions'!BF16", 1201.33)</f>
        <v>1201.33</v>
      </c>
      <c r="S172" s="40">
        <f>HYPERLINK("[N&amp;P New retention.xlsx]'Coastal N Reductions'!BF16", 1199.97)</f>
        <v>1199.97</v>
      </c>
      <c r="T172" s="40">
        <f>HYPERLINK("[N&amp;P with New retention and Differentiation.xlsx]'Coastal N Reductions'!BF16", 1198.96)</f>
        <v>1198.96</v>
      </c>
      <c r="U172" s="42">
        <f>S172-R172</f>
        <v>-1.3599999999999</v>
      </c>
      <c r="V172" s="42">
        <f>T172-R172</f>
        <v>-2.3699999999998909</v>
      </c>
      <c r="W172" s="18"/>
      <c r="X172" s="18"/>
      <c r="Y172" s="18"/>
      <c r="Z172" s="18"/>
      <c r="AA172" s="18"/>
      <c r="AB172" s="26">
        <f>HYPERLINK("[N&amp;P Old retention.xlsx]'Coastal N Reductions'!BS16", 690)</f>
        <v>690</v>
      </c>
      <c r="AC172" s="26">
        <f>HYPERLINK("[N&amp;P New retention.xlsx]'Coastal N Reductions'!BS16", 690)</f>
        <v>690</v>
      </c>
      <c r="AD172" s="26">
        <f>HYPERLINK("[N&amp;P with New retention and Differentiation.xlsx]'Coastal N Reductions'!BS16", 690)</f>
        <v>690</v>
      </c>
      <c r="AE172" s="18"/>
      <c r="AF172" s="18"/>
      <c r="AG172" s="18"/>
      <c r="AH172" s="18"/>
      <c r="AI172" s="40">
        <f>HYPERLINK("[N&amp;P with New retention and Differentiation.xlsx]'Coastal N Reductions'!BH16", 0.39)</f>
        <v>0.39</v>
      </c>
      <c r="AJ172" s="18"/>
      <c r="AK172" s="41">
        <f>AI172-AG172</f>
        <v>0.39</v>
      </c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40">
        <f>HYPERLINK("[N&amp;P Old retention.xlsx]'Coastal N Reductions'!BP16", 481.36)</f>
        <v>481.36</v>
      </c>
      <c r="BB172" s="40">
        <f>HYPERLINK("[N&amp;P New retention.xlsx]'Coastal N Reductions'!BP16", 436.14)</f>
        <v>436.14</v>
      </c>
      <c r="BC172" s="40">
        <f>HYPERLINK("[N&amp;P with New retention and Differentiation.xlsx]'Coastal N Reductions'!BP16", 431.348)</f>
        <v>431.34800000000001</v>
      </c>
      <c r="BD172" s="42">
        <f>BB172-BA172</f>
        <v>-45.220000000000027</v>
      </c>
      <c r="BE172" s="42">
        <f>BC172-BA172</f>
        <v>-50.012</v>
      </c>
      <c r="BF172" s="18"/>
      <c r="BG172" s="18"/>
      <c r="BH172" s="18"/>
      <c r="BI172" s="18"/>
      <c r="BJ172" s="18"/>
    </row>
    <row r="173" spans="1:62" x14ac:dyDescent="0.55000000000000004">
      <c r="A173" s="31">
        <v>120</v>
      </c>
      <c r="B173" s="5" t="s">
        <v>209</v>
      </c>
      <c r="C173" s="43">
        <f>HYPERLINK("[N&amp;P Old retention.xlsx]'Coastal N Reductions'!BD17", 14571.9345071522)</f>
        <v>14571.9345071522</v>
      </c>
      <c r="D173" s="43">
        <f>HYPERLINK("[N&amp;P New retention.xlsx]'Coastal N Reductions'!BD17", 15547.3845071522)</f>
        <v>15547.384507152199</v>
      </c>
      <c r="E173" s="43">
        <f>HYPERLINK("[N&amp;P with New retention and Differentiation.xlsx]'Coastal N Reductions'!BD17", 23351.8705071522)</f>
        <v>23351.870507152202</v>
      </c>
      <c r="F173" s="41">
        <f>D173-C173</f>
        <v>975.44999999999891</v>
      </c>
      <c r="G173" s="41">
        <f>E173-C173</f>
        <v>8779.9360000000015</v>
      </c>
      <c r="H173" s="43">
        <f>HYPERLINK("[N&amp;P Old retention.xlsx]'Coastal N Reductions'!AV17", 10312.138)</f>
        <v>10312.138000000001</v>
      </c>
      <c r="I173" s="43">
        <f>HYPERLINK("[N&amp;P New retention.xlsx]'Coastal N Reductions'!AV17", 11106.882)</f>
        <v>11106.882</v>
      </c>
      <c r="J173" s="43">
        <f>HYPERLINK("[N&amp;P with New retention and Differentiation.xlsx]'Coastal N Reductions'!AV17", 11202.926)</f>
        <v>11202.925999999999</v>
      </c>
      <c r="K173" s="41">
        <f>I173-H173</f>
        <v>794.74399999999878</v>
      </c>
      <c r="L173" s="41">
        <f>J173-H173</f>
        <v>890.78799999999865</v>
      </c>
      <c r="M173" s="43">
        <f>HYPERLINK("[N&amp;P Old retention.xlsx]'Coastal N Reductions'!AX17", 776.312)</f>
        <v>776.31200000000001</v>
      </c>
      <c r="N173" s="43">
        <f>HYPERLINK("[N&amp;P New retention.xlsx]'Coastal N Reductions'!AX17", 807.176)</f>
        <v>807.17600000000004</v>
      </c>
      <c r="O173" s="43">
        <f>HYPERLINK("[N&amp;P with New retention and Differentiation.xlsx]'Coastal N Reductions'!AX17", 816.746)</f>
        <v>816.74599999999998</v>
      </c>
      <c r="P173" s="41">
        <f>N173-M173</f>
        <v>30.864000000000033</v>
      </c>
      <c r="Q173" s="41">
        <f>O173-M173</f>
        <v>40.433999999999969</v>
      </c>
      <c r="R173" s="43">
        <f>HYPERLINK("[N&amp;P Old retention.xlsx]'Coastal N Reductions'!BF17", 12385.5365228277)</f>
        <v>12385.536522827701</v>
      </c>
      <c r="S173" s="43">
        <f>HYPERLINK("[N&amp;P New retention.xlsx]'Coastal N Reductions'!BF17", 11173.8965228277)</f>
        <v>11173.896522827699</v>
      </c>
      <c r="T173" s="43">
        <f>HYPERLINK("[N&amp;P with New retention and Differentiation.xlsx]'Coastal N Reductions'!BF17", 3026.30852282769)</f>
        <v>3026.30852282769</v>
      </c>
      <c r="U173" s="42">
        <f>S173-R173</f>
        <v>-1211.6400000000012</v>
      </c>
      <c r="V173" s="42">
        <f>T173-R173</f>
        <v>-9359.2280000000101</v>
      </c>
      <c r="W173" s="43">
        <f>HYPERLINK("[N&amp;P Old retention.xlsx]'Coastal N Reductions'!BI17", 6024.53226119026)</f>
        <v>6024.5322611902602</v>
      </c>
      <c r="X173" s="43">
        <f>HYPERLINK("[N&amp;P New retention.xlsx]'Coastal N Reductions'!BI17", 5009.83226119026)</f>
        <v>5009.8322611902604</v>
      </c>
      <c r="Y173" s="43">
        <f>HYPERLINK("[N&amp;P with New retention and Differentiation.xlsx]'Coastal N Reductions'!BI17", 5028.81226119026)</f>
        <v>5028.81226119026</v>
      </c>
      <c r="Z173" s="42">
        <f>X173-W173</f>
        <v>-1014.6999999999998</v>
      </c>
      <c r="AA173" s="42">
        <f>Y173-W173</f>
        <v>-995.72000000000025</v>
      </c>
      <c r="AB173" s="28">
        <f>HYPERLINK("[N&amp;P Old retention.xlsx]'Coastal N Reductions'!BS17", 1100)</f>
        <v>1100</v>
      </c>
      <c r="AC173" s="28">
        <f>HYPERLINK("[N&amp;P New retention.xlsx]'Coastal N Reductions'!BS17", 1100)</f>
        <v>1100</v>
      </c>
      <c r="AD173" s="28">
        <f>HYPERLINK("[N&amp;P with New retention and Differentiation.xlsx]'Coastal N Reductions'!BS17", 1100)</f>
        <v>1100</v>
      </c>
      <c r="AE173" s="13"/>
      <c r="AF173" s="13"/>
      <c r="AG173" s="43">
        <f>HYPERLINK("[N&amp;P Old retention.xlsx]'Coastal N Reductions'!BH17", 1420.33101498242)</f>
        <v>1420.3310149824199</v>
      </c>
      <c r="AH173" s="43">
        <f>HYPERLINK("[N&amp;P New retention.xlsx]'Coastal N Reductions'!BH17", 1542.89101498242)</f>
        <v>1542.8910149824201</v>
      </c>
      <c r="AI173" s="43">
        <f>HYPERLINK("[N&amp;P with New retention and Differentiation.xlsx]'Coastal N Reductions'!BH17", 1548.54701498242)</f>
        <v>1548.54701498242</v>
      </c>
      <c r="AJ173" s="41">
        <f>AH173-AG173</f>
        <v>122.56000000000017</v>
      </c>
      <c r="AK173" s="41">
        <f>AI173-AG173</f>
        <v>128.21600000000012</v>
      </c>
      <c r="AL173" s="43">
        <f>HYPERLINK("[N&amp;P Old retention.xlsx]'Coastal N Reductions'!AZ17", 570.7014)</f>
        <v>570.70140000000004</v>
      </c>
      <c r="AM173" s="43">
        <f>HYPERLINK("[N&amp;P New retention.xlsx]'Coastal N Reductions'!AZ17", 579.2664)</f>
        <v>579.26639999999998</v>
      </c>
      <c r="AN173" s="43">
        <f>HYPERLINK("[N&amp;P with New retention and Differentiation.xlsx]'Coastal N Reductions'!AZ17", 579.2664)</f>
        <v>579.26639999999998</v>
      </c>
      <c r="AO173" s="41">
        <f>AM173-AL173</f>
        <v>8.5649999999999409</v>
      </c>
      <c r="AP173" s="41">
        <f>AN173-AL173</f>
        <v>8.5649999999999409</v>
      </c>
      <c r="AQ173" s="43">
        <f>HYPERLINK("[N&amp;P Old retention.xlsx]'Coastal N Reductions'!BE17", 223.45)</f>
        <v>223.45</v>
      </c>
      <c r="AR173" s="43">
        <f>HYPERLINK("[N&amp;P New retention.xlsx]'Coastal N Reductions'!BE17", 163.338)</f>
        <v>163.33799999999999</v>
      </c>
      <c r="AS173" s="43">
        <f>HYPERLINK("[N&amp;P with New retention and Differentiation.xlsx]'Coastal N Reductions'!BE17", 83.312)</f>
        <v>83.311999999999998</v>
      </c>
      <c r="AT173" s="42">
        <f>AR173-AQ173</f>
        <v>-60.111999999999995</v>
      </c>
      <c r="AU173" s="42">
        <f>AS173-AQ173</f>
        <v>-140.13799999999998</v>
      </c>
      <c r="AV173" s="43">
        <f>HYPERLINK("[N&amp;P Old retention.xlsx]'Coastal N Reductions'!BC17", 4.49)</f>
        <v>4.49</v>
      </c>
      <c r="AW173" s="43">
        <f>HYPERLINK("[N&amp;P New retention.xlsx]'Coastal N Reductions'!BC17", 4.49)</f>
        <v>4.49</v>
      </c>
      <c r="AX173" s="43">
        <f>HYPERLINK("[N&amp;P with New retention and Differentiation.xlsx]'Coastal N Reductions'!BC17", 23.67)</f>
        <v>23.67</v>
      </c>
      <c r="AY173" s="13"/>
      <c r="AZ173" s="41">
        <f>AX173-AV173</f>
        <v>19.18</v>
      </c>
      <c r="BA173" s="43">
        <f>HYPERLINK("[N&amp;P Old retention.xlsx]'Coastal N Reductions'!BP17", 30.56)</f>
        <v>30.56</v>
      </c>
      <c r="BB173" s="43">
        <f>HYPERLINK("[N&amp;P New retention.xlsx]'Coastal N Reductions'!BP17", 14.87)</f>
        <v>14.87</v>
      </c>
      <c r="BC173" s="43">
        <f>HYPERLINK("[N&amp;P with New retention and Differentiation.xlsx]'Coastal N Reductions'!BP17", 15.85)</f>
        <v>15.85</v>
      </c>
      <c r="BD173" s="42">
        <f>BB173-BA173</f>
        <v>-15.69</v>
      </c>
      <c r="BE173" s="42">
        <f>BC173-BA173</f>
        <v>-14.709999999999999</v>
      </c>
      <c r="BF173" s="28">
        <f>HYPERLINK("[N&amp;P Old retention.xlsx]'Coastal N Reductions'!BT17", 1)</f>
        <v>1</v>
      </c>
      <c r="BG173" s="28">
        <f>HYPERLINK("[N&amp;P New retention.xlsx]'Coastal N Reductions'!BT17", 1)</f>
        <v>1</v>
      </c>
      <c r="BH173" s="28">
        <f>HYPERLINK("[N&amp;P with New retention and Differentiation.xlsx]'Coastal N Reductions'!BT17", 1)</f>
        <v>1</v>
      </c>
      <c r="BI173" s="13"/>
      <c r="BJ173" s="13"/>
    </row>
    <row r="174" spans="1:62" x14ac:dyDescent="0.55000000000000004">
      <c r="A174" s="30">
        <v>121</v>
      </c>
      <c r="B174" s="6" t="s">
        <v>210</v>
      </c>
      <c r="C174" s="40">
        <f>HYPERLINK("[N&amp;P Old retention.xlsx]'Coastal N Reductions'!BD18", 1700.276)</f>
        <v>1700.2760000000001</v>
      </c>
      <c r="D174" s="40">
        <f>HYPERLINK("[N&amp;P New retention.xlsx]'Coastal N Reductions'!BD18", 2326.612)</f>
        <v>2326.6120000000001</v>
      </c>
      <c r="E174" s="40">
        <f>HYPERLINK("[N&amp;P with New retention and Differentiation.xlsx]'Coastal N Reductions'!BD18", 2489.792)</f>
        <v>2489.7919999999999</v>
      </c>
      <c r="F174" s="41">
        <f>D174-C174</f>
        <v>626.33600000000001</v>
      </c>
      <c r="G174" s="41">
        <f>E174-C174</f>
        <v>789.51599999999985</v>
      </c>
      <c r="H174" s="40">
        <f>HYPERLINK("[N&amp;P Old retention.xlsx]'Coastal N Reductions'!AV18", 8027.74)</f>
        <v>8027.74</v>
      </c>
      <c r="I174" s="40">
        <f>HYPERLINK("[N&amp;P New retention.xlsx]'Coastal N Reductions'!AV18", 7075.406)</f>
        <v>7075.4059999999999</v>
      </c>
      <c r="J174" s="40">
        <f>HYPERLINK("[N&amp;P with New retention and Differentiation.xlsx]'Coastal N Reductions'!AV18", 8454.276)</f>
        <v>8454.2759999999998</v>
      </c>
      <c r="K174" s="42">
        <f>I174-H174</f>
        <v>-952.33399999999983</v>
      </c>
      <c r="L174" s="41">
        <f>J174-H174</f>
        <v>426.53600000000006</v>
      </c>
      <c r="M174" s="40">
        <f>HYPERLINK("[N&amp;P Old retention.xlsx]'Coastal N Reductions'!AX18", 48.108)</f>
        <v>48.107999999999997</v>
      </c>
      <c r="N174" s="40">
        <f>HYPERLINK("[N&amp;P New retention.xlsx]'Coastal N Reductions'!AX18", 69.308)</f>
        <v>69.308000000000007</v>
      </c>
      <c r="O174" s="40">
        <f>HYPERLINK("[N&amp;P with New retention and Differentiation.xlsx]'Coastal N Reductions'!AX18", 71.278)</f>
        <v>71.278000000000006</v>
      </c>
      <c r="P174" s="41">
        <f>N174-M174</f>
        <v>21.20000000000001</v>
      </c>
      <c r="Q174" s="41">
        <f>O174-M174</f>
        <v>23.170000000000009</v>
      </c>
      <c r="R174" s="40">
        <f>HYPERLINK("[N&amp;P Old retention.xlsx]'Coastal N Reductions'!BF18", 9901.52073772814)</f>
        <v>9901.5207377281404</v>
      </c>
      <c r="S174" s="40">
        <f>HYPERLINK("[N&amp;P New retention.xlsx]'Coastal N Reductions'!BF18", 8749.79873772814)</f>
        <v>8749.7987377281406</v>
      </c>
      <c r="T174" s="40">
        <f>HYPERLINK("[N&amp;P with New retention and Differentiation.xlsx]'Coastal N Reductions'!BF18", 8251.39873772814)</f>
        <v>8251.3987377281392</v>
      </c>
      <c r="U174" s="42">
        <f>S174-R174</f>
        <v>-1151.7219999999998</v>
      </c>
      <c r="V174" s="42">
        <f>T174-R174</f>
        <v>-1650.1220000000012</v>
      </c>
      <c r="W174" s="40">
        <f>HYPERLINK("[N&amp;P Old retention.xlsx]'Coastal N Reductions'!BI18", 468.902)</f>
        <v>468.90199999999999</v>
      </c>
      <c r="X174" s="18"/>
      <c r="Y174" s="40">
        <f>HYPERLINK("[N&amp;P with New retention and Differentiation.xlsx]'Coastal N Reductions'!BI18", 0.388)</f>
        <v>0.38800000000000001</v>
      </c>
      <c r="Z174" s="42">
        <f>X174-W174</f>
        <v>-468.90199999999999</v>
      </c>
      <c r="AA174" s="42">
        <f>Y174-W174</f>
        <v>-468.51400000000001</v>
      </c>
      <c r="AB174" s="18"/>
      <c r="AC174" s="26">
        <f>HYPERLINK("[N&amp;P New retention.xlsx]'Coastal N Reductions'!BS18", 20)</f>
        <v>20</v>
      </c>
      <c r="AD174" s="18"/>
      <c r="AE174" s="16">
        <f>AC174-AB174</f>
        <v>20</v>
      </c>
      <c r="AF174" s="18"/>
      <c r="AG174" s="40">
        <f>HYPERLINK("[N&amp;P Old retention.xlsx]'Coastal N Reductions'!BH18", 1600.58099936347)</f>
        <v>1600.58099936347</v>
      </c>
      <c r="AH174" s="40">
        <f>HYPERLINK("[N&amp;P New retention.xlsx]'Coastal N Reductions'!BH18", 1322.07867787902)</f>
        <v>1322.07867787902</v>
      </c>
      <c r="AI174" s="40">
        <f>HYPERLINK("[N&amp;P with New retention and Differentiation.xlsx]'Coastal N Reductions'!BH18", 1389.18667787903)</f>
        <v>1389.18667787903</v>
      </c>
      <c r="AJ174" s="42">
        <f>AH174-AG174</f>
        <v>-278.50232148445002</v>
      </c>
      <c r="AK174" s="42">
        <f>AI174-AG174</f>
        <v>-211.39432148444007</v>
      </c>
      <c r="AL174" s="40">
        <f>HYPERLINK("[N&amp;P Old retention.xlsx]'Coastal N Reductions'!AZ18", 4.9092)</f>
        <v>4.9092000000000002</v>
      </c>
      <c r="AM174" s="40">
        <f>HYPERLINK("[N&amp;P New retention.xlsx]'Coastal N Reductions'!AZ18", 6.993)</f>
        <v>6.9930000000000003</v>
      </c>
      <c r="AN174" s="40">
        <f>HYPERLINK("[N&amp;P with New retention and Differentiation.xlsx]'Coastal N Reductions'!AZ18", 44.0922)</f>
        <v>44.092199999999998</v>
      </c>
      <c r="AO174" s="41">
        <f>AM174-AL174</f>
        <v>2.0838000000000001</v>
      </c>
      <c r="AP174" s="41">
        <f>AN174-AL174</f>
        <v>39.183</v>
      </c>
      <c r="AQ174" s="18"/>
      <c r="AR174" s="18"/>
      <c r="AS174" s="18"/>
      <c r="AT174" s="18"/>
      <c r="AU174" s="18"/>
      <c r="AV174" s="18"/>
      <c r="AW174" s="18"/>
      <c r="AX174" s="40">
        <f>HYPERLINK("[N&amp;P with New retention and Differentiation.xlsx]'Coastal N Reductions'!BC18", 4.488)</f>
        <v>4.4880000000000004</v>
      </c>
      <c r="AY174" s="18"/>
      <c r="AZ174" s="41">
        <f>AX174-AV174</f>
        <v>4.4880000000000004</v>
      </c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</row>
    <row r="175" spans="1:62" x14ac:dyDescent="0.55000000000000004">
      <c r="A175" s="31">
        <v>122</v>
      </c>
      <c r="B175" s="5" t="s">
        <v>211</v>
      </c>
      <c r="C175" s="43">
        <f>HYPERLINK("[N&amp;P Old retention.xlsx]'Coastal N Reductions'!BD19", 749.774)</f>
        <v>749.774</v>
      </c>
      <c r="D175" s="43">
        <f>HYPERLINK("[N&amp;P New retention.xlsx]'Coastal N Reductions'!BD19", 910.252)</f>
        <v>910.25199999999995</v>
      </c>
      <c r="E175" s="43">
        <f>HYPERLINK("[N&amp;P with New retention and Differentiation.xlsx]'Coastal N Reductions'!BD19", 910.252)</f>
        <v>910.25199999999995</v>
      </c>
      <c r="F175" s="41">
        <f>D175-C175</f>
        <v>160.47799999999995</v>
      </c>
      <c r="G175" s="41">
        <f>E175-C175</f>
        <v>160.47799999999995</v>
      </c>
      <c r="H175" s="43">
        <f>HYPERLINK("[N&amp;P Old retention.xlsx]'Coastal N Reductions'!AV19", 1300.15)</f>
        <v>1300.1500000000001</v>
      </c>
      <c r="I175" s="43">
        <f>HYPERLINK("[N&amp;P New retention.xlsx]'Coastal N Reductions'!AV19", 1154.858)</f>
        <v>1154.8579999999999</v>
      </c>
      <c r="J175" s="43">
        <f>HYPERLINK("[N&amp;P with New retention and Differentiation.xlsx]'Coastal N Reductions'!AV19", 1155.096)</f>
        <v>1155.096</v>
      </c>
      <c r="K175" s="42">
        <f>I175-H175</f>
        <v>-145.29200000000014</v>
      </c>
      <c r="L175" s="42">
        <f>J175-H175</f>
        <v>-145.05400000000009</v>
      </c>
      <c r="M175" s="43">
        <f>HYPERLINK("[N&amp;P Old retention.xlsx]'Coastal N Reductions'!AX19", 1792.632)</f>
        <v>1792.6320000000001</v>
      </c>
      <c r="N175" s="43">
        <f>HYPERLINK("[N&amp;P New retention.xlsx]'Coastal N Reductions'!AX19", 2204.854)</f>
        <v>2204.8539999999998</v>
      </c>
      <c r="O175" s="43">
        <f>HYPERLINK("[N&amp;P with New retention and Differentiation.xlsx]'Coastal N Reductions'!AX19", 2204.854)</f>
        <v>2204.8539999999998</v>
      </c>
      <c r="P175" s="41">
        <f>N175-M175</f>
        <v>412.22199999999975</v>
      </c>
      <c r="Q175" s="41">
        <f>O175-M175</f>
        <v>412.22199999999975</v>
      </c>
      <c r="R175" s="43">
        <f>HYPERLINK("[N&amp;P Old retention.xlsx]'Coastal N Reductions'!BF19", 51.628)</f>
        <v>51.628</v>
      </c>
      <c r="S175" s="43">
        <f>HYPERLINK("[N&amp;P New retention.xlsx]'Coastal N Reductions'!BF19", 51.344)</f>
        <v>51.344000000000001</v>
      </c>
      <c r="T175" s="43">
        <f>HYPERLINK("[N&amp;P with New retention and Differentiation.xlsx]'Coastal N Reductions'!BF19", 51.344)</f>
        <v>51.344000000000001</v>
      </c>
      <c r="U175" s="42">
        <f>S175-R175</f>
        <v>-0.28399999999999892</v>
      </c>
      <c r="V175" s="42">
        <f>T175-R175</f>
        <v>-0.28399999999999892</v>
      </c>
      <c r="W175" s="43">
        <f>HYPERLINK("[N&amp;P Old retention.xlsx]'Coastal N Reductions'!BI19", 18.398)</f>
        <v>18.398</v>
      </c>
      <c r="X175" s="43">
        <f>HYPERLINK("[N&amp;P New retention.xlsx]'Coastal N Reductions'!BI19", 20.528)</f>
        <v>20.527999999999999</v>
      </c>
      <c r="Y175" s="43">
        <f>HYPERLINK("[N&amp;P with New retention and Differentiation.xlsx]'Coastal N Reductions'!BI19", 20.528)</f>
        <v>20.527999999999999</v>
      </c>
      <c r="Z175" s="41">
        <f>X175-W175</f>
        <v>2.129999999999999</v>
      </c>
      <c r="AA175" s="41">
        <f>Y175-W175</f>
        <v>2.129999999999999</v>
      </c>
      <c r="AB175" s="28">
        <f>HYPERLINK("[N&amp;P Old retention.xlsx]'Coastal N Reductions'!BS19", 6800)</f>
        <v>6800</v>
      </c>
      <c r="AC175" s="28">
        <f>HYPERLINK("[N&amp;P New retention.xlsx]'Coastal N Reductions'!BS19", 6799.99999999998)</f>
        <v>6799.99999999998</v>
      </c>
      <c r="AD175" s="28">
        <f>HYPERLINK("[N&amp;P with New retention and Differentiation.xlsx]'Coastal N Reductions'!BS19", 6800)</f>
        <v>6800</v>
      </c>
      <c r="AE175" s="21">
        <f>AC175-AB175</f>
        <v>-2.0008883439004421E-11</v>
      </c>
      <c r="AF175" s="13"/>
      <c r="AG175" s="43">
        <f>HYPERLINK("[N&amp;P Old retention.xlsx]'Coastal N Reductions'!BH19", 57.946)</f>
        <v>57.945999999999998</v>
      </c>
      <c r="AH175" s="43">
        <f>HYPERLINK("[N&amp;P New retention.xlsx]'Coastal N Reductions'!BH19", 107.486)</f>
        <v>107.486</v>
      </c>
      <c r="AI175" s="43">
        <f>HYPERLINK("[N&amp;P with New retention and Differentiation.xlsx]'Coastal N Reductions'!BH19", 107.486)</f>
        <v>107.486</v>
      </c>
      <c r="AJ175" s="41">
        <f>AH175-AG175</f>
        <v>49.540000000000006</v>
      </c>
      <c r="AK175" s="41">
        <f>AI175-AG175</f>
        <v>49.540000000000006</v>
      </c>
      <c r="AL175" s="43">
        <f>HYPERLINK("[N&amp;P Old retention.xlsx]'Coastal N Reductions'!AZ19", 880.4262)</f>
        <v>880.42619999999999</v>
      </c>
      <c r="AM175" s="43">
        <f>HYPERLINK("[N&amp;P New retention.xlsx]'Coastal N Reductions'!AZ19", 747.1032)</f>
        <v>747.10320000000002</v>
      </c>
      <c r="AN175" s="43">
        <f>HYPERLINK("[N&amp;P with New retention and Differentiation.xlsx]'Coastal N Reductions'!AZ19", 747.1032)</f>
        <v>747.10320000000002</v>
      </c>
      <c r="AO175" s="42">
        <f>AM175-AL175</f>
        <v>-133.32299999999998</v>
      </c>
      <c r="AP175" s="42">
        <f>AN175-AL175</f>
        <v>-133.32299999999998</v>
      </c>
      <c r="AQ175" s="13"/>
      <c r="AR175" s="43">
        <f>HYPERLINK("[N&amp;P New retention.xlsx]'Coastal N Reductions'!BE19", 0.0039999999999999)</f>
        <v>3.9999999999999003E-3</v>
      </c>
      <c r="AS175" s="43">
        <f>HYPERLINK("[N&amp;P with New retention and Differentiation.xlsx]'Coastal N Reductions'!BE19", 0.0039999999999999)</f>
        <v>3.9999999999999003E-3</v>
      </c>
      <c r="AT175" s="41">
        <f>AR175-AQ175</f>
        <v>3.9999999999999003E-3</v>
      </c>
      <c r="AU175" s="41">
        <f>AS175-AQ175</f>
        <v>3.9999999999999003E-3</v>
      </c>
      <c r="AV175" s="13"/>
      <c r="AW175" s="13"/>
      <c r="AX175" s="13"/>
      <c r="AY175" s="13"/>
      <c r="AZ175" s="13"/>
      <c r="BA175" s="43">
        <f>HYPERLINK("[N&amp;P Old retention.xlsx]'Coastal N Reductions'!BP19", 717.614)</f>
        <v>717.61400000000003</v>
      </c>
      <c r="BB175" s="43">
        <f>HYPERLINK("[N&amp;P New retention.xlsx]'Coastal N Reductions'!BP19", 751.378)</f>
        <v>751.37800000000004</v>
      </c>
      <c r="BC175" s="43">
        <f>HYPERLINK("[N&amp;P with New retention and Differentiation.xlsx]'Coastal N Reductions'!BP19", 739.654)</f>
        <v>739.654</v>
      </c>
      <c r="BD175" s="41">
        <f>BB175-BA175</f>
        <v>33.76400000000001</v>
      </c>
      <c r="BE175" s="41">
        <f>BC175-BA175</f>
        <v>22.039999999999964</v>
      </c>
      <c r="BF175" s="13"/>
      <c r="BG175" s="13"/>
      <c r="BH175" s="13"/>
      <c r="BI175" s="13"/>
      <c r="BJ175" s="13"/>
    </row>
    <row r="176" spans="1:62" x14ac:dyDescent="0.55000000000000004">
      <c r="A176" s="30">
        <v>123</v>
      </c>
      <c r="B176" s="6" t="s">
        <v>212</v>
      </c>
      <c r="C176" s="40">
        <f>HYPERLINK("[N&amp;P Old retention.xlsx]'Coastal N Reductions'!BD20", 2317.644)</f>
        <v>2317.6439999999998</v>
      </c>
      <c r="D176" s="40">
        <f>HYPERLINK("[N&amp;P New retention.xlsx]'Coastal N Reductions'!BD20", 1826.266)</f>
        <v>1826.2660000000001</v>
      </c>
      <c r="E176" s="40">
        <f>HYPERLINK("[N&amp;P with New retention and Differentiation.xlsx]'Coastal N Reductions'!BD20", 1957.176)</f>
        <v>1957.1759999999999</v>
      </c>
      <c r="F176" s="42">
        <f>D176-C176</f>
        <v>-491.3779999999997</v>
      </c>
      <c r="G176" s="42">
        <f>E176-C176</f>
        <v>-360.46799999999985</v>
      </c>
      <c r="H176" s="40">
        <f>HYPERLINK("[N&amp;P Old retention.xlsx]'Coastal N Reductions'!AV20", 1032.174)</f>
        <v>1032.174</v>
      </c>
      <c r="I176" s="40">
        <f>HYPERLINK("[N&amp;P New retention.xlsx]'Coastal N Reductions'!AV20", 712.68)</f>
        <v>712.68</v>
      </c>
      <c r="J176" s="40">
        <f>HYPERLINK("[N&amp;P with New retention and Differentiation.xlsx]'Coastal N Reductions'!AV20", 699.348)</f>
        <v>699.34799999999996</v>
      </c>
      <c r="K176" s="42">
        <f>I176-H176</f>
        <v>-319.49400000000003</v>
      </c>
      <c r="L176" s="42">
        <f>J176-H176</f>
        <v>-332.82600000000002</v>
      </c>
      <c r="M176" s="40">
        <f>HYPERLINK("[N&amp;P Old retention.xlsx]'Coastal N Reductions'!AX20", 235.218)</f>
        <v>235.21799999999999</v>
      </c>
      <c r="N176" s="40">
        <f>HYPERLINK("[N&amp;P New retention.xlsx]'Coastal N Reductions'!AX20", 219.844)</f>
        <v>219.84399999999999</v>
      </c>
      <c r="O176" s="40">
        <f>HYPERLINK("[N&amp;P with New retention and Differentiation.xlsx]'Coastal N Reductions'!AX20", 214.504)</f>
        <v>214.50399999999999</v>
      </c>
      <c r="P176" s="42">
        <f>N176-M176</f>
        <v>-15.373999999999995</v>
      </c>
      <c r="Q176" s="42">
        <f>O176-M176</f>
        <v>-20.713999999999999</v>
      </c>
      <c r="R176" s="40">
        <f>HYPERLINK("[N&amp;P Old retention.xlsx]'Coastal N Reductions'!BF20", 40.922)</f>
        <v>40.921999999999997</v>
      </c>
      <c r="S176" s="40">
        <f>HYPERLINK("[N&amp;P New retention.xlsx]'Coastal N Reductions'!BF20", 152.512)</f>
        <v>152.512</v>
      </c>
      <c r="T176" s="40">
        <f>HYPERLINK("[N&amp;P with New retention and Differentiation.xlsx]'Coastal N Reductions'!BF20", 18.952)</f>
        <v>18.952000000000002</v>
      </c>
      <c r="U176" s="41">
        <f>S176-R176</f>
        <v>111.59</v>
      </c>
      <c r="V176" s="42">
        <f>T176-R176</f>
        <v>-21.969999999999995</v>
      </c>
      <c r="W176" s="40">
        <f>HYPERLINK("[N&amp;P Old retention.xlsx]'Coastal N Reductions'!BI20", 1.15)</f>
        <v>1.1499999999999999</v>
      </c>
      <c r="X176" s="18"/>
      <c r="Y176" s="18"/>
      <c r="Z176" s="42">
        <f>X176-W176</f>
        <v>-1.1499999999999999</v>
      </c>
      <c r="AA176" s="42">
        <f>Y176-W176</f>
        <v>-1.1499999999999999</v>
      </c>
      <c r="AB176" s="18"/>
      <c r="AC176" s="18"/>
      <c r="AD176" s="18"/>
      <c r="AE176" s="18"/>
      <c r="AF176" s="18"/>
      <c r="AG176" s="40">
        <f>HYPERLINK("[N&amp;P Old retention.xlsx]'Coastal N Reductions'!BH20", 53.488)</f>
        <v>53.488</v>
      </c>
      <c r="AH176" s="40">
        <f>HYPERLINK("[N&amp;P New retention.xlsx]'Coastal N Reductions'!BH20", 40.25)</f>
        <v>40.25</v>
      </c>
      <c r="AI176" s="40">
        <f>HYPERLINK("[N&amp;P with New retention and Differentiation.xlsx]'Coastal N Reductions'!BH20", 39.45)</f>
        <v>39.450000000000003</v>
      </c>
      <c r="AJ176" s="42">
        <f>AH176-AG176</f>
        <v>-13.238</v>
      </c>
      <c r="AK176" s="42">
        <f>AI176-AG176</f>
        <v>-14.037999999999997</v>
      </c>
      <c r="AL176" s="40">
        <f>HYPERLINK("[N&amp;P Old retention.xlsx]'Coastal N Reductions'!AZ20", 496.1844)</f>
        <v>496.18439999999998</v>
      </c>
      <c r="AM176" s="40">
        <f>HYPERLINK("[N&amp;P New retention.xlsx]'Coastal N Reductions'!AZ20", 376.1832)</f>
        <v>376.1832</v>
      </c>
      <c r="AN176" s="40">
        <f>HYPERLINK("[N&amp;P with New retention and Differentiation.xlsx]'Coastal N Reductions'!AZ20", 380.793)</f>
        <v>380.79300000000001</v>
      </c>
      <c r="AO176" s="42">
        <f>AM176-AL176</f>
        <v>-120.00119999999998</v>
      </c>
      <c r="AP176" s="42">
        <f>AN176-AL176</f>
        <v>-115.39139999999998</v>
      </c>
      <c r="AQ176" s="18"/>
      <c r="AR176" s="18"/>
      <c r="AS176" s="18"/>
      <c r="AT176" s="18"/>
      <c r="AU176" s="18"/>
      <c r="AV176" s="18"/>
      <c r="AW176" s="18"/>
      <c r="AX176" s="40">
        <f>HYPERLINK("[N&amp;P with New retention and Differentiation.xlsx]'Coastal N Reductions'!BC20", 4.69)</f>
        <v>4.6900000000000004</v>
      </c>
      <c r="AY176" s="18"/>
      <c r="AZ176" s="41">
        <f>AX176-AV176</f>
        <v>4.6900000000000004</v>
      </c>
      <c r="BA176" s="18"/>
      <c r="BB176" s="40">
        <f>HYPERLINK("[N&amp;P New retention.xlsx]'Coastal N Reductions'!BP20", 7.07)</f>
        <v>7.07</v>
      </c>
      <c r="BC176" s="40">
        <f>HYPERLINK("[N&amp;P with New retention and Differentiation.xlsx]'Coastal N Reductions'!BP20", 5.03)</f>
        <v>5.03</v>
      </c>
      <c r="BD176" s="41">
        <f>BB176-BA176</f>
        <v>7.07</v>
      </c>
      <c r="BE176" s="41">
        <f>BC176-BA176</f>
        <v>5.03</v>
      </c>
      <c r="BF176" s="18"/>
      <c r="BG176" s="18"/>
      <c r="BH176" s="18"/>
      <c r="BI176" s="18"/>
      <c r="BJ176" s="18"/>
    </row>
    <row r="177" spans="1:62" x14ac:dyDescent="0.55000000000000004">
      <c r="A177" s="31">
        <v>124</v>
      </c>
      <c r="B177" s="5" t="s">
        <v>213</v>
      </c>
      <c r="C177" s="43">
        <f>HYPERLINK("[N&amp;P Old retention.xlsx]'Coastal N Reductions'!BD21", 6770.40908859567)</f>
        <v>6770.4090885956703</v>
      </c>
      <c r="D177" s="43">
        <f>HYPERLINK("[N&amp;P New retention.xlsx]'Coastal N Reductions'!BD21", 6635.87508859567)</f>
        <v>6635.8750885956697</v>
      </c>
      <c r="E177" s="43">
        <f>HYPERLINK("[N&amp;P with New retention and Differentiation.xlsx]'Coastal N Reductions'!BD21", 6795.92908859567)</f>
        <v>6795.9290885956698</v>
      </c>
      <c r="F177" s="42">
        <f>D177-C177</f>
        <v>-134.53400000000056</v>
      </c>
      <c r="G177" s="41">
        <f>E177-C177</f>
        <v>25.519999999999527</v>
      </c>
      <c r="H177" s="43">
        <f>HYPERLINK("[N&amp;P Old retention.xlsx]'Coastal N Reductions'!AV21", 1273.142)</f>
        <v>1273.1420000000001</v>
      </c>
      <c r="I177" s="43">
        <f>HYPERLINK("[N&amp;P New retention.xlsx]'Coastal N Reductions'!AV21", 1258.934)</f>
        <v>1258.934</v>
      </c>
      <c r="J177" s="43">
        <f>HYPERLINK("[N&amp;P with New retention and Differentiation.xlsx]'Coastal N Reductions'!AV21", 1266.254)</f>
        <v>1266.2539999999999</v>
      </c>
      <c r="K177" s="42">
        <f>I177-H177</f>
        <v>-14.208000000000084</v>
      </c>
      <c r="L177" s="42">
        <f>J177-H177</f>
        <v>-6.8880000000001473</v>
      </c>
      <c r="M177" s="43">
        <f>HYPERLINK("[N&amp;P Old retention.xlsx]'Coastal N Reductions'!AX21", 1678.756)</f>
        <v>1678.7560000000001</v>
      </c>
      <c r="N177" s="43">
        <f>HYPERLINK("[N&amp;P New retention.xlsx]'Coastal N Reductions'!AX21", 1878.544)</f>
        <v>1878.5440000000001</v>
      </c>
      <c r="O177" s="43">
        <f>HYPERLINK("[N&amp;P with New retention and Differentiation.xlsx]'Coastal N Reductions'!AX21", 1878.76)</f>
        <v>1878.76</v>
      </c>
      <c r="P177" s="41">
        <f>N177-M177</f>
        <v>199.78800000000001</v>
      </c>
      <c r="Q177" s="41">
        <f>O177-M177</f>
        <v>200.00399999999991</v>
      </c>
      <c r="R177" s="43">
        <f>HYPERLINK("[N&amp;P Old retention.xlsx]'Coastal N Reductions'!BF21", 501.21)</f>
        <v>501.21</v>
      </c>
      <c r="S177" s="43">
        <f>HYPERLINK("[N&amp;P New retention.xlsx]'Coastal N Reductions'!BF21", 493.22)</f>
        <v>493.22</v>
      </c>
      <c r="T177" s="43">
        <f>HYPERLINK("[N&amp;P with New retention and Differentiation.xlsx]'Coastal N Reductions'!BF21", 293.43)</f>
        <v>293.43</v>
      </c>
      <c r="U177" s="42">
        <f>S177-R177</f>
        <v>-7.9899999999999523</v>
      </c>
      <c r="V177" s="42">
        <f>T177-R177</f>
        <v>-207.77999999999997</v>
      </c>
      <c r="W177" s="43">
        <f>HYPERLINK("[N&amp;P Old retention.xlsx]'Coastal N Reductions'!BI21", 60.536)</f>
        <v>60.536000000000001</v>
      </c>
      <c r="X177" s="43">
        <f>HYPERLINK("[N&amp;P New retention.xlsx]'Coastal N Reductions'!BI21", 61.766)</f>
        <v>61.765999999999998</v>
      </c>
      <c r="Y177" s="43">
        <f>HYPERLINK("[N&amp;P with New retention and Differentiation.xlsx]'Coastal N Reductions'!BI21", 63.636)</f>
        <v>63.636000000000003</v>
      </c>
      <c r="Z177" s="41">
        <f>X177-W177</f>
        <v>1.2299999999999969</v>
      </c>
      <c r="AA177" s="41">
        <f>Y177-W177</f>
        <v>3.1000000000000014</v>
      </c>
      <c r="AB177" s="28">
        <f>HYPERLINK("[N&amp;P Old retention.xlsx]'Coastal N Reductions'!BS21", 2920)</f>
        <v>2920</v>
      </c>
      <c r="AC177" s="28">
        <f>HYPERLINK("[N&amp;P New retention.xlsx]'Coastal N Reductions'!BS21", 1720)</f>
        <v>1720</v>
      </c>
      <c r="AD177" s="28">
        <f>HYPERLINK("[N&amp;P with New retention and Differentiation.xlsx]'Coastal N Reductions'!BS21", 1620)</f>
        <v>1620</v>
      </c>
      <c r="AE177" s="21">
        <f>AC177-AB177</f>
        <v>-1200</v>
      </c>
      <c r="AF177" s="21">
        <f>AD177-AB177</f>
        <v>-1300</v>
      </c>
      <c r="AG177" s="43">
        <f>HYPERLINK("[N&amp;P Old retention.xlsx]'Coastal N Reductions'!BH21", 92.8111034482759)</f>
        <v>92.811103448275901</v>
      </c>
      <c r="AH177" s="43">
        <f>HYPERLINK("[N&amp;P New retention.xlsx]'Coastal N Reductions'!BH21", 89.7211034482759)</f>
        <v>89.721103448275898</v>
      </c>
      <c r="AI177" s="43">
        <f>HYPERLINK("[N&amp;P with New retention and Differentiation.xlsx]'Coastal N Reductions'!BH21", 89.5611034482759)</f>
        <v>89.561103448275901</v>
      </c>
      <c r="AJ177" s="42">
        <f>AH177-AG177</f>
        <v>-3.0900000000000034</v>
      </c>
      <c r="AK177" s="42">
        <f>AI177-AG177</f>
        <v>-3.25</v>
      </c>
      <c r="AL177" s="43">
        <f>HYPERLINK("[N&amp;P Old retention.xlsx]'Coastal N Reductions'!AZ21", 152.6136)</f>
        <v>152.61359999999999</v>
      </c>
      <c r="AM177" s="43">
        <f>HYPERLINK("[N&amp;P New retention.xlsx]'Coastal N Reductions'!AZ21", 169.8096)</f>
        <v>169.80959999999999</v>
      </c>
      <c r="AN177" s="43">
        <f>HYPERLINK("[N&amp;P with New retention and Differentiation.xlsx]'Coastal N Reductions'!AZ21", 161.4456)</f>
        <v>161.44560000000001</v>
      </c>
      <c r="AO177" s="41">
        <f>AM177-AL177</f>
        <v>17.195999999999998</v>
      </c>
      <c r="AP177" s="41">
        <f>AN177-AL177</f>
        <v>8.8320000000000221</v>
      </c>
      <c r="AQ177" s="43">
        <f>HYPERLINK("[N&amp;P Old retention.xlsx]'Coastal N Reductions'!BE21", 137.37)</f>
        <v>137.37</v>
      </c>
      <c r="AR177" s="43">
        <f>HYPERLINK("[N&amp;P New retention.xlsx]'Coastal N Reductions'!BE21", 137.666)</f>
        <v>137.666</v>
      </c>
      <c r="AS177" s="43">
        <f>HYPERLINK("[N&amp;P with New retention and Differentiation.xlsx]'Coastal N Reductions'!BE21", 99.676)</f>
        <v>99.676000000000002</v>
      </c>
      <c r="AT177" s="41">
        <f>AR177-AQ177</f>
        <v>0.29599999999999227</v>
      </c>
      <c r="AU177" s="42">
        <f>AS177-AQ177</f>
        <v>-37.694000000000003</v>
      </c>
      <c r="AV177" s="43">
        <f>HYPERLINK("[N&amp;P Old retention.xlsx]'Coastal N Reductions'!BC21", 4.65)</f>
        <v>4.6500000000000004</v>
      </c>
      <c r="AW177" s="43">
        <f>HYPERLINK("[N&amp;P New retention.xlsx]'Coastal N Reductions'!BC21", 12.08)</f>
        <v>12.08</v>
      </c>
      <c r="AX177" s="43">
        <f>HYPERLINK("[N&amp;P with New retention and Differentiation.xlsx]'Coastal N Reductions'!BC21", 93.9)</f>
        <v>93.9</v>
      </c>
      <c r="AY177" s="41">
        <f>AW177-AV177</f>
        <v>7.43</v>
      </c>
      <c r="AZ177" s="41">
        <f>AX177-AV177</f>
        <v>89.25</v>
      </c>
      <c r="BA177" s="43">
        <f>HYPERLINK("[N&amp;P Old retention.xlsx]'Coastal N Reductions'!BP21", 11.08)</f>
        <v>11.08</v>
      </c>
      <c r="BB177" s="43">
        <f>HYPERLINK("[N&amp;P New retention.xlsx]'Coastal N Reductions'!BP21", 28.28)</f>
        <v>28.28</v>
      </c>
      <c r="BC177" s="43">
        <f>HYPERLINK("[N&amp;P with New retention and Differentiation.xlsx]'Coastal N Reductions'!BP21", 10.27)</f>
        <v>10.27</v>
      </c>
      <c r="BD177" s="41">
        <f>BB177-BA177</f>
        <v>17.200000000000003</v>
      </c>
      <c r="BE177" s="42">
        <f>BC177-BA177</f>
        <v>-0.8100000000000005</v>
      </c>
      <c r="BF177" s="13"/>
      <c r="BG177" s="13"/>
      <c r="BH177" s="13"/>
      <c r="BI177" s="13"/>
      <c r="BJ177" s="13"/>
    </row>
    <row r="178" spans="1:62" x14ac:dyDescent="0.55000000000000004">
      <c r="A178" s="30">
        <v>125</v>
      </c>
      <c r="B178" s="6" t="s">
        <v>214</v>
      </c>
      <c r="C178" s="40">
        <f>HYPERLINK("[N&amp;P Old retention.xlsx]'Coastal N Reductions'!BD22", 793.284)</f>
        <v>793.28399999999999</v>
      </c>
      <c r="D178" s="40">
        <f>HYPERLINK("[N&amp;P New retention.xlsx]'Coastal N Reductions'!BD22", 1201.164)</f>
        <v>1201.164</v>
      </c>
      <c r="E178" s="40">
        <f>HYPERLINK("[N&amp;P with New retention and Differentiation.xlsx]'Coastal N Reductions'!BD22", 1201.164)</f>
        <v>1201.164</v>
      </c>
      <c r="F178" s="41">
        <f>D178-C178</f>
        <v>407.88</v>
      </c>
      <c r="G178" s="41">
        <f>E178-C178</f>
        <v>407.88</v>
      </c>
      <c r="H178" s="40">
        <f>HYPERLINK("[N&amp;P Old retention.xlsx]'Coastal N Reductions'!AV22", 168.71)</f>
        <v>168.71</v>
      </c>
      <c r="I178" s="40">
        <f>HYPERLINK("[N&amp;P New retention.xlsx]'Coastal N Reductions'!AV22", 17.832)</f>
        <v>17.832000000000001</v>
      </c>
      <c r="J178" s="40">
        <f>HYPERLINK("[N&amp;P with New retention and Differentiation.xlsx]'Coastal N Reductions'!AV22", 17.832)</f>
        <v>17.832000000000001</v>
      </c>
      <c r="K178" s="42">
        <f>I178-H178</f>
        <v>-150.87800000000001</v>
      </c>
      <c r="L178" s="42">
        <f>J178-H178</f>
        <v>-150.87800000000001</v>
      </c>
      <c r="M178" s="40">
        <f>HYPERLINK("[N&amp;P Old retention.xlsx]'Coastal N Reductions'!AX22", 124.778)</f>
        <v>124.77800000000001</v>
      </c>
      <c r="N178" s="40">
        <f>HYPERLINK("[N&amp;P New retention.xlsx]'Coastal N Reductions'!AX22", 233.146)</f>
        <v>233.14599999999999</v>
      </c>
      <c r="O178" s="40">
        <f>HYPERLINK("[N&amp;P with New retention and Differentiation.xlsx]'Coastal N Reductions'!AX22", 233.146)</f>
        <v>233.14599999999999</v>
      </c>
      <c r="P178" s="41">
        <f>N178-M178</f>
        <v>108.36799999999998</v>
      </c>
      <c r="Q178" s="41">
        <f>O178-M178</f>
        <v>108.36799999999998</v>
      </c>
      <c r="R178" s="40">
        <f>HYPERLINK("[N&amp;P Old retention.xlsx]'Coastal N Reductions'!BF22", 14.9)</f>
        <v>14.9</v>
      </c>
      <c r="S178" s="40">
        <f>HYPERLINK("[N&amp;P New retention.xlsx]'Coastal N Reductions'!BF22", 28.816)</f>
        <v>28.815999999999999</v>
      </c>
      <c r="T178" s="40">
        <f>HYPERLINK("[N&amp;P with New retention and Differentiation.xlsx]'Coastal N Reductions'!BF22", 28.816)</f>
        <v>28.815999999999999</v>
      </c>
      <c r="U178" s="41">
        <f>S178-R178</f>
        <v>13.915999999999999</v>
      </c>
      <c r="V178" s="41">
        <f>T178-R178</f>
        <v>13.915999999999999</v>
      </c>
      <c r="W178" s="40">
        <f>HYPERLINK("[N&amp;P Old retention.xlsx]'Coastal N Reductions'!BI22", 7.768)</f>
        <v>7.7679999999999998</v>
      </c>
      <c r="X178" s="40">
        <f>HYPERLINK("[N&amp;P New retention.xlsx]'Coastal N Reductions'!BI22", 5.452)</f>
        <v>5.452</v>
      </c>
      <c r="Y178" s="40">
        <f>HYPERLINK("[N&amp;P with New retention and Differentiation.xlsx]'Coastal N Reductions'!BI22", 5.452)</f>
        <v>5.452</v>
      </c>
      <c r="Z178" s="42">
        <f>X178-W178</f>
        <v>-2.3159999999999998</v>
      </c>
      <c r="AA178" s="42">
        <f>Y178-W178</f>
        <v>-2.3159999999999998</v>
      </c>
      <c r="AB178" s="26">
        <f>HYPERLINK("[N&amp;P Old retention.xlsx]'Coastal N Reductions'!BS22", 900)</f>
        <v>900</v>
      </c>
      <c r="AC178" s="26">
        <f>HYPERLINK("[N&amp;P New retention.xlsx]'Coastal N Reductions'!BS22", 970)</f>
        <v>970</v>
      </c>
      <c r="AD178" s="26">
        <f>HYPERLINK("[N&amp;P with New retention and Differentiation.xlsx]'Coastal N Reductions'!BS22", 970)</f>
        <v>970</v>
      </c>
      <c r="AE178" s="16">
        <f>AC178-AB178</f>
        <v>70</v>
      </c>
      <c r="AF178" s="16">
        <f>AD178-AB178</f>
        <v>70</v>
      </c>
      <c r="AG178" s="40">
        <f>HYPERLINK("[N&amp;P Old retention.xlsx]'Coastal N Reductions'!BH22", 1)</f>
        <v>1</v>
      </c>
      <c r="AH178" s="40">
        <f>HYPERLINK("[N&amp;P New retention.xlsx]'Coastal N Reductions'!BH22", 0.2)</f>
        <v>0.2</v>
      </c>
      <c r="AI178" s="40">
        <f>HYPERLINK("[N&amp;P with New retention and Differentiation.xlsx]'Coastal N Reductions'!BH22", 0.2)</f>
        <v>0.2</v>
      </c>
      <c r="AJ178" s="42">
        <f>AH178-AG178</f>
        <v>-0.8</v>
      </c>
      <c r="AK178" s="42">
        <f>AI178-AG178</f>
        <v>-0.8</v>
      </c>
      <c r="AL178" s="40">
        <f>HYPERLINK("[N&amp;P Old retention.xlsx]'Coastal N Reductions'!AZ22", 8.6118)</f>
        <v>8.6118000000000006</v>
      </c>
      <c r="AM178" s="18"/>
      <c r="AN178" s="18"/>
      <c r="AO178" s="42">
        <f>AM178-AL178</f>
        <v>-8.6118000000000006</v>
      </c>
      <c r="AP178" s="42">
        <f>AN178-AL178</f>
        <v>-8.6118000000000006</v>
      </c>
      <c r="AQ178" s="40">
        <f>HYPERLINK("[N&amp;P Old retention.xlsx]'Coastal N Reductions'!BE22", 1.15)</f>
        <v>1.1499999999999999</v>
      </c>
      <c r="AR178" s="40">
        <f>HYPERLINK("[N&amp;P New retention.xlsx]'Coastal N Reductions'!BE22", 1.686)</f>
        <v>1.6859999999999999</v>
      </c>
      <c r="AS178" s="40">
        <f>HYPERLINK("[N&amp;P with New retention and Differentiation.xlsx]'Coastal N Reductions'!BE22", 1.686)</f>
        <v>1.6859999999999999</v>
      </c>
      <c r="AT178" s="41">
        <f>AR178-AQ178</f>
        <v>0.53600000000000003</v>
      </c>
      <c r="AU178" s="41">
        <f>AS178-AQ178</f>
        <v>0.53600000000000003</v>
      </c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</row>
    <row r="179" spans="1:62" x14ac:dyDescent="0.55000000000000004">
      <c r="A179" s="31">
        <v>127</v>
      </c>
      <c r="B179" s="5" t="s">
        <v>215</v>
      </c>
      <c r="C179" s="43">
        <f>HYPERLINK("[N&amp;P Old retention.xlsx]'Coastal N Reductions'!BD23", 91.49)</f>
        <v>91.49</v>
      </c>
      <c r="D179" s="43">
        <f>HYPERLINK("[N&amp;P New retention.xlsx]'Coastal N Reductions'!BD23", 1.09)</f>
        <v>1.0900000000000001</v>
      </c>
      <c r="E179" s="13"/>
      <c r="F179" s="42">
        <f>D179-C179</f>
        <v>-90.399999999999991</v>
      </c>
      <c r="G179" s="42">
        <f>E179-C179</f>
        <v>-91.49</v>
      </c>
      <c r="H179" s="43">
        <f>HYPERLINK("[N&amp;P Old retention.xlsx]'Coastal N Reductions'!AV23", 80.156)</f>
        <v>80.156000000000006</v>
      </c>
      <c r="I179" s="43">
        <f>HYPERLINK("[N&amp;P New retention.xlsx]'Coastal N Reductions'!AV23", 17.74)</f>
        <v>17.739999999999998</v>
      </c>
      <c r="J179" s="43">
        <f>HYPERLINK("[N&amp;P with New retention and Differentiation.xlsx]'Coastal N Reductions'!AV23", 16.194)</f>
        <v>16.193999999999999</v>
      </c>
      <c r="K179" s="42">
        <f>I179-H179</f>
        <v>-62.416000000000011</v>
      </c>
      <c r="L179" s="42">
        <f>J179-H179</f>
        <v>-63.962000000000003</v>
      </c>
      <c r="M179" s="43">
        <f>HYPERLINK("[N&amp;P Old retention.xlsx]'Coastal N Reductions'!AX23", 6.552)</f>
        <v>6.5519999999999996</v>
      </c>
      <c r="N179" s="43">
        <f>HYPERLINK("[N&amp;P New retention.xlsx]'Coastal N Reductions'!AX23", 2.882)</f>
        <v>2.8820000000000001</v>
      </c>
      <c r="O179" s="43">
        <f>HYPERLINK("[N&amp;P with New retention and Differentiation.xlsx]'Coastal N Reductions'!AX23", 2.882)</f>
        <v>2.8820000000000001</v>
      </c>
      <c r="P179" s="42">
        <f>N179-M179</f>
        <v>-3.6699999999999995</v>
      </c>
      <c r="Q179" s="42">
        <f>O179-M179</f>
        <v>-3.6699999999999995</v>
      </c>
      <c r="R179" s="43">
        <f>HYPERLINK("[N&amp;P Old retention.xlsx]'Coastal N Reductions'!BF23", 1.93)</f>
        <v>1.93</v>
      </c>
      <c r="S179" s="43">
        <f>HYPERLINK("[N&amp;P New retention.xlsx]'Coastal N Reductions'!BF23", 1.93)</f>
        <v>1.93</v>
      </c>
      <c r="T179" s="43">
        <f>HYPERLINK("[N&amp;P with New retention and Differentiation.xlsx]'Coastal N Reductions'!BF23", 18.98)</f>
        <v>18.98</v>
      </c>
      <c r="U179" s="13"/>
      <c r="V179" s="41">
        <f>T179-R179</f>
        <v>17.05</v>
      </c>
      <c r="W179" s="13"/>
      <c r="X179" s="43">
        <f>HYPERLINK("[N&amp;P New retention.xlsx]'Coastal N Reductions'!BI23", 25.078)</f>
        <v>25.077999999999999</v>
      </c>
      <c r="Y179" s="43">
        <f>HYPERLINK("[N&amp;P with New retention and Differentiation.xlsx]'Coastal N Reductions'!BI23", 24.928)</f>
        <v>24.928000000000001</v>
      </c>
      <c r="Z179" s="41">
        <f>X179-W179</f>
        <v>25.077999999999999</v>
      </c>
      <c r="AA179" s="41">
        <f>Y179-W179</f>
        <v>24.928000000000001</v>
      </c>
      <c r="AB179" s="13"/>
      <c r="AC179" s="13"/>
      <c r="AD179" s="13"/>
      <c r="AE179" s="13"/>
      <c r="AF179" s="13"/>
      <c r="AG179" s="43">
        <f>HYPERLINK("[N&amp;P Old retention.xlsx]'Coastal N Reductions'!BH23", 0.08)</f>
        <v>0.08</v>
      </c>
      <c r="AH179" s="43">
        <f>HYPERLINK("[N&amp;P New retention.xlsx]'Coastal N Reductions'!BH23", 0.19)</f>
        <v>0.19</v>
      </c>
      <c r="AI179" s="43">
        <f>HYPERLINK("[N&amp;P with New retention and Differentiation.xlsx]'Coastal N Reductions'!BH23", 0.08)</f>
        <v>0.08</v>
      </c>
      <c r="AJ179" s="41">
        <f>AH179-AG179</f>
        <v>0.11</v>
      </c>
      <c r="AK179" s="13"/>
      <c r="AL179" s="43">
        <f>HYPERLINK("[N&amp;P Old retention.xlsx]'Coastal N Reductions'!AZ23", 112.1142)</f>
        <v>112.1142</v>
      </c>
      <c r="AM179" s="43">
        <f>HYPERLINK("[N&amp;P New retention.xlsx]'Coastal N Reductions'!AZ23", 45.5172)</f>
        <v>45.517200000000003</v>
      </c>
      <c r="AN179" s="43">
        <f>HYPERLINK("[N&amp;P with New retention and Differentiation.xlsx]'Coastal N Reductions'!AZ23", 1.26)</f>
        <v>1.26</v>
      </c>
      <c r="AO179" s="42">
        <f>AM179-AL179</f>
        <v>-66.596999999999994</v>
      </c>
      <c r="AP179" s="42">
        <f>AN179-AL179</f>
        <v>-110.85419999999999</v>
      </c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</row>
    <row r="180" spans="1:62" x14ac:dyDescent="0.55000000000000004">
      <c r="A180" s="30">
        <v>128</v>
      </c>
      <c r="B180" s="6" t="s">
        <v>216</v>
      </c>
      <c r="C180" s="40">
        <f>HYPERLINK("[N&amp;P Old retention.xlsx]'Coastal N Reductions'!BD24", 1944.77582886106)</f>
        <v>1944.7758288610601</v>
      </c>
      <c r="D180" s="40">
        <f>HYPERLINK("[N&amp;P New retention.xlsx]'Coastal N Reductions'!BD24", 1944.77582886106)</f>
        <v>1944.7758288610601</v>
      </c>
      <c r="E180" s="40">
        <f>HYPERLINK("[N&amp;P with New retention and Differentiation.xlsx]'Coastal N Reductions'!BD24", 1967.60582886106)</f>
        <v>1967.60582886106</v>
      </c>
      <c r="F180" s="18"/>
      <c r="G180" s="41">
        <f>E180-C180</f>
        <v>22.829999999999927</v>
      </c>
      <c r="H180" s="18"/>
      <c r="I180" s="18"/>
      <c r="J180" s="18"/>
      <c r="K180" s="18"/>
      <c r="L180" s="18"/>
      <c r="M180" s="18"/>
      <c r="N180" s="18"/>
      <c r="O180" s="40">
        <f>HYPERLINK("[N&amp;P with New retention and Differentiation.xlsx]'Coastal N Reductions'!AX24", 2.7)</f>
        <v>2.7</v>
      </c>
      <c r="P180" s="18"/>
      <c r="Q180" s="41">
        <f>O180-M180</f>
        <v>2.7</v>
      </c>
      <c r="R180" s="40">
        <f>HYPERLINK("[N&amp;P Old retention.xlsx]'Coastal N Reductions'!BF24", 12504.8414476075)</f>
        <v>12504.8414476075</v>
      </c>
      <c r="S180" s="40">
        <f>HYPERLINK("[N&amp;P New retention.xlsx]'Coastal N Reductions'!BF24", 12504.8414476075)</f>
        <v>12504.8414476075</v>
      </c>
      <c r="T180" s="40">
        <f>HYPERLINK("[N&amp;P with New retention and Differentiation.xlsx]'Coastal N Reductions'!BF24", 12570.6654476075)</f>
        <v>12570.6654476075</v>
      </c>
      <c r="U180" s="18"/>
      <c r="V180" s="41">
        <f>T180-R180</f>
        <v>65.824000000000524</v>
      </c>
      <c r="W180" s="18"/>
      <c r="X180" s="18"/>
      <c r="Y180" s="18"/>
      <c r="Z180" s="18"/>
      <c r="AA180" s="18"/>
      <c r="AB180" s="26">
        <f>HYPERLINK("[N&amp;P Old retention.xlsx]'Coastal N Reductions'!BS24", 13219.9999999875)</f>
        <v>13219.9999999875</v>
      </c>
      <c r="AC180" s="26">
        <f>HYPERLINK("[N&amp;P New retention.xlsx]'Coastal N Reductions'!BS24", 13219.9999999875)</f>
        <v>13219.9999999875</v>
      </c>
      <c r="AD180" s="26">
        <f>HYPERLINK("[N&amp;P with New retention and Differentiation.xlsx]'Coastal N Reductions'!BS24", 13119.9999999977)</f>
        <v>13119.999999997701</v>
      </c>
      <c r="AE180" s="18"/>
      <c r="AF180" s="21">
        <f>AD180-AB180</f>
        <v>-99.999999989799107</v>
      </c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40">
        <f>HYPERLINK("[N&amp;P Old retention.xlsx]'Coastal N Reductions'!BP24", 1581.478)</f>
        <v>1581.4780000000001</v>
      </c>
      <c r="BB180" s="40">
        <f>HYPERLINK("[N&amp;P New retention.xlsx]'Coastal N Reductions'!BP24", 1635.444)</f>
        <v>1635.444</v>
      </c>
      <c r="BC180" s="40">
        <f>HYPERLINK("[N&amp;P with New retention and Differentiation.xlsx]'Coastal N Reductions'!BP24", 1700.09)</f>
        <v>1700.09</v>
      </c>
      <c r="BD180" s="41">
        <f>BB180-BA180</f>
        <v>53.965999999999894</v>
      </c>
      <c r="BE180" s="41">
        <f>BC180-BA180</f>
        <v>118.61199999999985</v>
      </c>
      <c r="BF180" s="18"/>
      <c r="BG180" s="18"/>
      <c r="BH180" s="18"/>
      <c r="BI180" s="18"/>
      <c r="BJ180" s="18"/>
    </row>
    <row r="181" spans="1:62" x14ac:dyDescent="0.55000000000000004">
      <c r="A181" s="31">
        <v>129</v>
      </c>
      <c r="B181" s="5" t="s">
        <v>217</v>
      </c>
      <c r="C181" s="13"/>
      <c r="D181" s="13"/>
      <c r="E181" s="13"/>
      <c r="F181" s="13"/>
      <c r="G181" s="13"/>
      <c r="H181" s="43">
        <f>HYPERLINK("[N&amp;P Old retention.xlsx]'Coastal N Reductions'!AV25", 1393.33)</f>
        <v>1393.33</v>
      </c>
      <c r="I181" s="43">
        <f>HYPERLINK("[N&amp;P New retention.xlsx]'Coastal N Reductions'!AV25", 1313.596)</f>
        <v>1313.596</v>
      </c>
      <c r="J181" s="43">
        <f>HYPERLINK("[N&amp;P with New retention and Differentiation.xlsx]'Coastal N Reductions'!AV25", 1542.286)</f>
        <v>1542.2860000000001</v>
      </c>
      <c r="K181" s="42">
        <f>I181-H181</f>
        <v>-79.733999999999924</v>
      </c>
      <c r="L181" s="41">
        <f>J181-H181</f>
        <v>148.95600000000013</v>
      </c>
      <c r="M181" s="43">
        <f>HYPERLINK("[N&amp;P Old retention.xlsx]'Coastal N Reductions'!AX25", 29.614)</f>
        <v>29.614000000000001</v>
      </c>
      <c r="N181" s="43">
        <f>HYPERLINK("[N&amp;P New retention.xlsx]'Coastal N Reductions'!AX25", 64.374)</f>
        <v>64.373999999999995</v>
      </c>
      <c r="O181" s="43">
        <f>HYPERLINK("[N&amp;P with New retention and Differentiation.xlsx]'Coastal N Reductions'!AX25", 74.564)</f>
        <v>74.563999999999993</v>
      </c>
      <c r="P181" s="41">
        <f>N181-M181</f>
        <v>34.759999999999991</v>
      </c>
      <c r="Q181" s="41">
        <f>O181-M181</f>
        <v>44.949999999999989</v>
      </c>
      <c r="R181" s="43">
        <f>HYPERLINK("[N&amp;P Old retention.xlsx]'Coastal N Reductions'!BF25", 2560.874)</f>
        <v>2560.8739999999998</v>
      </c>
      <c r="S181" s="43">
        <f>HYPERLINK("[N&amp;P New retention.xlsx]'Coastal N Reductions'!BF25", 1947.078)</f>
        <v>1947.078</v>
      </c>
      <c r="T181" s="43">
        <f>HYPERLINK("[N&amp;P with New retention and Differentiation.xlsx]'Coastal N Reductions'!BF25", 1873.988)</f>
        <v>1873.9880000000001</v>
      </c>
      <c r="U181" s="42">
        <f>S181-R181</f>
        <v>-613.79599999999982</v>
      </c>
      <c r="V181" s="42">
        <f>T181-R181</f>
        <v>-686.88599999999974</v>
      </c>
      <c r="W181" s="43">
        <f>HYPERLINK("[N&amp;P Old retention.xlsx]'Coastal N Reductions'!BI25", 46.746)</f>
        <v>46.746000000000002</v>
      </c>
      <c r="X181" s="43">
        <f>HYPERLINK("[N&amp;P New retention.xlsx]'Coastal N Reductions'!BI25", 259.176)</f>
        <v>259.17599999999999</v>
      </c>
      <c r="Y181" s="43">
        <f>HYPERLINK("[N&amp;P with New retention and Differentiation.xlsx]'Coastal N Reductions'!BI25", 269.18)</f>
        <v>269.18</v>
      </c>
      <c r="Z181" s="41">
        <f>X181-W181</f>
        <v>212.42999999999998</v>
      </c>
      <c r="AA181" s="41">
        <f>Y181-W181</f>
        <v>222.434</v>
      </c>
      <c r="AB181" s="13"/>
      <c r="AC181" s="13"/>
      <c r="AD181" s="13"/>
      <c r="AE181" s="13"/>
      <c r="AF181" s="13"/>
      <c r="AG181" s="43">
        <f>HYPERLINK("[N&amp;P Old retention.xlsx]'Coastal N Reductions'!BH25", 381.008972088719)</f>
        <v>381.00897208871902</v>
      </c>
      <c r="AH181" s="43">
        <f>HYPERLINK("[N&amp;P New retention.xlsx]'Coastal N Reductions'!BH25", 517.196972088719)</f>
        <v>517.19697208871901</v>
      </c>
      <c r="AI181" s="43">
        <f>HYPERLINK("[N&amp;P with New retention and Differentiation.xlsx]'Coastal N Reductions'!BH25", 522.106972088719)</f>
        <v>522.10697208871898</v>
      </c>
      <c r="AJ181" s="41">
        <f>AH181-AG181</f>
        <v>136.18799999999999</v>
      </c>
      <c r="AK181" s="41">
        <f>AI181-AG181</f>
        <v>141.09799999999996</v>
      </c>
      <c r="AL181" s="43">
        <f>HYPERLINK("[N&amp;P Old retention.xlsx]'Coastal N Reductions'!AZ25", 0.6708)</f>
        <v>0.67079999999999995</v>
      </c>
      <c r="AM181" s="43">
        <f>HYPERLINK("[N&amp;P New retention.xlsx]'Coastal N Reductions'!AZ25", 68.1306)</f>
        <v>68.130600000000001</v>
      </c>
      <c r="AN181" s="43">
        <f>HYPERLINK("[N&amp;P with New retention and Differentiation.xlsx]'Coastal N Reductions'!AZ25", 55.242)</f>
        <v>55.241999999999997</v>
      </c>
      <c r="AO181" s="41">
        <f>AM181-AL181</f>
        <v>67.459800000000001</v>
      </c>
      <c r="AP181" s="41">
        <f>AN181-AL181</f>
        <v>54.571199999999997</v>
      </c>
      <c r="AQ181" s="43">
        <f>HYPERLINK("[N&amp;P Old retention.xlsx]'Coastal N Reductions'!BE25", 3.806)</f>
        <v>3.806</v>
      </c>
      <c r="AR181" s="43">
        <f>HYPERLINK("[N&amp;P New retention.xlsx]'Coastal N Reductions'!BE25", 26.378)</f>
        <v>26.378</v>
      </c>
      <c r="AS181" s="43">
        <f>HYPERLINK("[N&amp;P with New retention and Differentiation.xlsx]'Coastal N Reductions'!BE25", 28.388)</f>
        <v>28.388000000000002</v>
      </c>
      <c r="AT181" s="41">
        <f>AR181-AQ181</f>
        <v>22.571999999999999</v>
      </c>
      <c r="AU181" s="41">
        <f>AS181-AQ181</f>
        <v>24.582000000000001</v>
      </c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</row>
    <row r="182" spans="1:62" x14ac:dyDescent="0.55000000000000004">
      <c r="A182" s="30">
        <v>130</v>
      </c>
      <c r="B182" s="6" t="s">
        <v>218</v>
      </c>
      <c r="C182" s="18"/>
      <c r="D182" s="18"/>
      <c r="E182" s="18"/>
      <c r="F182" s="18"/>
      <c r="G182" s="18"/>
      <c r="H182" s="40">
        <f>HYPERLINK("[N&amp;P Old retention.xlsx]'Coastal N Reductions'!AV26", 172.738)</f>
        <v>172.738</v>
      </c>
      <c r="I182" s="18"/>
      <c r="J182" s="18"/>
      <c r="K182" s="42">
        <f>I182-H182</f>
        <v>-172.738</v>
      </c>
      <c r="L182" s="42">
        <f>J182-H182</f>
        <v>-172.738</v>
      </c>
      <c r="M182" s="18"/>
      <c r="N182" s="18"/>
      <c r="O182" s="18"/>
      <c r="P182" s="18"/>
      <c r="Q182" s="18"/>
      <c r="R182" s="40">
        <f>HYPERLINK("[N&amp;P Old retention.xlsx]'Coastal N Reductions'!BF26", 670.374)</f>
        <v>670.37400000000002</v>
      </c>
      <c r="S182" s="40">
        <f>HYPERLINK("[N&amp;P New retention.xlsx]'Coastal N Reductions'!BF26", 655.094)</f>
        <v>655.09400000000005</v>
      </c>
      <c r="T182" s="40">
        <f>HYPERLINK("[N&amp;P with New retention and Differentiation.xlsx]'Coastal N Reductions'!BF26", 586.328)</f>
        <v>586.32799999999997</v>
      </c>
      <c r="U182" s="42">
        <f>S182-R182</f>
        <v>-15.279999999999973</v>
      </c>
      <c r="V182" s="42">
        <f>T182-R182</f>
        <v>-84.046000000000049</v>
      </c>
      <c r="W182" s="40">
        <f>HYPERLINK("[N&amp;P Old retention.xlsx]'Coastal N Reductions'!BI26", 13.224)</f>
        <v>13.224</v>
      </c>
      <c r="X182" s="40">
        <f>HYPERLINK("[N&amp;P New retention.xlsx]'Coastal N Reductions'!BI26", 31.594)</f>
        <v>31.594000000000001</v>
      </c>
      <c r="Y182" s="40">
        <f>HYPERLINK("[N&amp;P with New retention and Differentiation.xlsx]'Coastal N Reductions'!BI26", 40.524)</f>
        <v>40.524000000000001</v>
      </c>
      <c r="Z182" s="41">
        <f>X182-W182</f>
        <v>18.37</v>
      </c>
      <c r="AA182" s="41">
        <f>Y182-W182</f>
        <v>27.3</v>
      </c>
      <c r="AB182" s="18"/>
      <c r="AC182" s="18"/>
      <c r="AD182" s="18"/>
      <c r="AE182" s="18"/>
      <c r="AF182" s="18"/>
      <c r="AG182" s="40">
        <f>HYPERLINK("[N&amp;P Old retention.xlsx]'Coastal N Reductions'!BH26", 265.429957645415)</f>
        <v>265.42995764541502</v>
      </c>
      <c r="AH182" s="40">
        <f>HYPERLINK("[N&amp;P New retention.xlsx]'Coastal N Reductions'!BH26", 282.019957645415)</f>
        <v>282.01995764541499</v>
      </c>
      <c r="AI182" s="40">
        <f>HYPERLINK("[N&amp;P with New retention and Differentiation.xlsx]'Coastal N Reductions'!BH26", 287.179957645415)</f>
        <v>287.17995764541502</v>
      </c>
      <c r="AJ182" s="41">
        <f>AH182-AG182</f>
        <v>16.589999999999975</v>
      </c>
      <c r="AK182" s="41">
        <f>AI182-AG182</f>
        <v>21.75</v>
      </c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</row>
    <row r="183" spans="1:62" x14ac:dyDescent="0.55000000000000004">
      <c r="A183" s="31">
        <v>131</v>
      </c>
      <c r="B183" s="5" t="s">
        <v>219</v>
      </c>
      <c r="C183" s="43">
        <f>HYPERLINK("[N&amp;P Old retention.xlsx]'Coastal N Reductions'!BD27", 47.452)</f>
        <v>47.451999999999998</v>
      </c>
      <c r="D183" s="43">
        <f>HYPERLINK("[N&amp;P New retention.xlsx]'Coastal N Reductions'!BD27", 14.91)</f>
        <v>14.91</v>
      </c>
      <c r="E183" s="43">
        <f>HYPERLINK("[N&amp;P with New retention and Differentiation.xlsx]'Coastal N Reductions'!BD27", 2342.17335135135)</f>
        <v>2342.17335135135</v>
      </c>
      <c r="F183" s="42">
        <f>D183-C183</f>
        <v>-32.542000000000002</v>
      </c>
      <c r="G183" s="41">
        <f>E183-C183</f>
        <v>2294.7213513513498</v>
      </c>
      <c r="H183" s="43">
        <f>HYPERLINK("[N&amp;P Old retention.xlsx]'Coastal N Reductions'!AV27", 3995.574)</f>
        <v>3995.5740000000001</v>
      </c>
      <c r="I183" s="43">
        <f>HYPERLINK("[N&amp;P New retention.xlsx]'Coastal N Reductions'!AV27", 3615.118)</f>
        <v>3615.1179999999999</v>
      </c>
      <c r="J183" s="43">
        <f>HYPERLINK("[N&amp;P with New retention and Differentiation.xlsx]'Coastal N Reductions'!AV27", 4098.2)</f>
        <v>4098.2</v>
      </c>
      <c r="K183" s="42">
        <f>I183-H183</f>
        <v>-380.45600000000013</v>
      </c>
      <c r="L183" s="41">
        <f>J183-H183</f>
        <v>102.62599999999975</v>
      </c>
      <c r="M183" s="43">
        <f>HYPERLINK("[N&amp;P Old retention.xlsx]'Coastal N Reductions'!AX27", 73.026)</f>
        <v>73.025999999999996</v>
      </c>
      <c r="N183" s="43">
        <f>HYPERLINK("[N&amp;P New retention.xlsx]'Coastal N Reductions'!AX27", 85.702)</f>
        <v>85.701999999999998</v>
      </c>
      <c r="O183" s="43">
        <f>HYPERLINK("[N&amp;P with New retention and Differentiation.xlsx]'Coastal N Reductions'!AX27", 85.702)</f>
        <v>85.701999999999998</v>
      </c>
      <c r="P183" s="41">
        <f>N183-M183</f>
        <v>12.676000000000002</v>
      </c>
      <c r="Q183" s="41">
        <f>O183-M183</f>
        <v>12.676000000000002</v>
      </c>
      <c r="R183" s="43">
        <f>HYPERLINK("[N&amp;P Old retention.xlsx]'Coastal N Reductions'!BF27", 6553.57533333333)</f>
        <v>6553.5753333333296</v>
      </c>
      <c r="S183" s="43">
        <f>HYPERLINK("[N&amp;P New retention.xlsx]'Coastal N Reductions'!BF27", 7936.81135135135)</f>
        <v>7936.8113513513499</v>
      </c>
      <c r="T183" s="43">
        <f>HYPERLINK("[N&amp;P with New retention and Differentiation.xlsx]'Coastal N Reductions'!BF27", 5339.152)</f>
        <v>5339.152</v>
      </c>
      <c r="U183" s="41">
        <f>S183-R183</f>
        <v>1383.2360180180203</v>
      </c>
      <c r="V183" s="42">
        <f>T183-R183</f>
        <v>-1214.4233333333295</v>
      </c>
      <c r="W183" s="43">
        <f>HYPERLINK("[N&amp;P Old retention.xlsx]'Coastal N Reductions'!BI27", 521.860991150443)</f>
        <v>521.86099115044306</v>
      </c>
      <c r="X183" s="13"/>
      <c r="Y183" s="13"/>
      <c r="Z183" s="42">
        <f>X183-W183</f>
        <v>-521.86099115044306</v>
      </c>
      <c r="AA183" s="42">
        <f>Y183-W183</f>
        <v>-521.86099115044306</v>
      </c>
      <c r="AB183" s="13"/>
      <c r="AC183" s="13"/>
      <c r="AD183" s="13"/>
      <c r="AE183" s="13"/>
      <c r="AF183" s="13"/>
      <c r="AG183" s="43">
        <f>HYPERLINK("[N&amp;P Old retention.xlsx]'Coastal N Reductions'!BH27", 1255.56522577455)</f>
        <v>1255.5652257745501</v>
      </c>
      <c r="AH183" s="43">
        <f>HYPERLINK("[N&amp;P New retention.xlsx]'Coastal N Reductions'!BH27", 942.925550098878)</f>
        <v>942.92555009887803</v>
      </c>
      <c r="AI183" s="43">
        <f>HYPERLINK("[N&amp;P with New retention and Differentiation.xlsx]'Coastal N Reductions'!BH27", 1034.17355009888)</f>
        <v>1034.17355009888</v>
      </c>
      <c r="AJ183" s="42">
        <f>AH183-AG183</f>
        <v>-312.63967567567204</v>
      </c>
      <c r="AK183" s="42">
        <f>AI183-AG183</f>
        <v>-221.39167567567006</v>
      </c>
      <c r="AL183" s="43">
        <f>HYPERLINK("[N&amp;P Old retention.xlsx]'Coastal N Reductions'!AZ27", 54.7614)</f>
        <v>54.761400000000002</v>
      </c>
      <c r="AM183" s="43">
        <f>HYPERLINK("[N&amp;P New retention.xlsx]'Coastal N Reductions'!AZ27", 68.2926)</f>
        <v>68.292599999999993</v>
      </c>
      <c r="AN183" s="43">
        <f>HYPERLINK("[N&amp;P with New retention and Differentiation.xlsx]'Coastal N Reductions'!AZ27", 65.5626)</f>
        <v>65.562600000000003</v>
      </c>
      <c r="AO183" s="41">
        <f>AM183-AL183</f>
        <v>13.531199999999991</v>
      </c>
      <c r="AP183" s="41">
        <f>AN183-AL183</f>
        <v>10.801200000000001</v>
      </c>
      <c r="AQ183" s="43">
        <f>HYPERLINK("[N&amp;P Old retention.xlsx]'Coastal N Reductions'!BE27", 0.0099999999999999)</f>
        <v>9.9999999999998996E-3</v>
      </c>
      <c r="AR183" s="13"/>
      <c r="AS183" s="13"/>
      <c r="AT183" s="42">
        <f>AR183-AQ183</f>
        <v>-9.9999999999998996E-3</v>
      </c>
      <c r="AU183" s="42">
        <f>AS183-AQ183</f>
        <v>-9.9999999999998996E-3</v>
      </c>
      <c r="AV183" s="13"/>
      <c r="AW183" s="13"/>
      <c r="AX183" s="13"/>
      <c r="AY183" s="13"/>
      <c r="AZ183" s="13"/>
      <c r="BA183" s="43">
        <f>HYPERLINK("[N&amp;P Old retention.xlsx]'Coastal N Reductions'!BP27", 0.11)</f>
        <v>0.11</v>
      </c>
      <c r="BB183" s="13"/>
      <c r="BC183" s="13"/>
      <c r="BD183" s="42">
        <f>BB183-BA183</f>
        <v>-0.11</v>
      </c>
      <c r="BE183" s="42">
        <f>BC183-BA183</f>
        <v>-0.11</v>
      </c>
      <c r="BF183" s="13"/>
      <c r="BG183" s="13"/>
      <c r="BH183" s="13"/>
      <c r="BI183" s="13"/>
      <c r="BJ183" s="13"/>
    </row>
    <row r="184" spans="1:62" x14ac:dyDescent="0.55000000000000004">
      <c r="A184" s="30">
        <v>132</v>
      </c>
      <c r="B184" s="6" t="s">
        <v>220</v>
      </c>
      <c r="C184" s="40">
        <f>HYPERLINK("[N&amp;P Old retention.xlsx]'Coastal N Reductions'!BD28", 3684.46086725664)</f>
        <v>3684.4608672566401</v>
      </c>
      <c r="D184" s="40">
        <f>HYPERLINK("[N&amp;P New retention.xlsx]'Coastal N Reductions'!BD28", 4310.92486725661)</f>
        <v>4310.92486725661</v>
      </c>
      <c r="E184" s="40">
        <f>HYPERLINK("[N&amp;P with New retention and Differentiation.xlsx]'Coastal N Reductions'!BD28", 5561.74086725664)</f>
        <v>5561.7408672566398</v>
      </c>
      <c r="F184" s="41">
        <f>D184-C184</f>
        <v>626.46399999996993</v>
      </c>
      <c r="G184" s="41">
        <f>E184-C184</f>
        <v>1877.2799999999997</v>
      </c>
      <c r="H184" s="40">
        <f>HYPERLINK("[N&amp;P Old retention.xlsx]'Coastal N Reductions'!AV28", 15644.966)</f>
        <v>15644.966</v>
      </c>
      <c r="I184" s="40">
        <f>HYPERLINK("[N&amp;P New retention.xlsx]'Coastal N Reductions'!AV28", 19627.934)</f>
        <v>19627.934000000001</v>
      </c>
      <c r="J184" s="40">
        <f>HYPERLINK("[N&amp;P with New retention and Differentiation.xlsx]'Coastal N Reductions'!AV28", 20548.574)</f>
        <v>20548.574000000001</v>
      </c>
      <c r="K184" s="41">
        <f>I184-H184</f>
        <v>3982.9680000000008</v>
      </c>
      <c r="L184" s="41">
        <f>J184-H184</f>
        <v>4903.6080000000002</v>
      </c>
      <c r="M184" s="40">
        <f>HYPERLINK("[N&amp;P Old retention.xlsx]'Coastal N Reductions'!AX28", 89.548)</f>
        <v>89.548000000000002</v>
      </c>
      <c r="N184" s="40">
        <f>HYPERLINK("[N&amp;P New retention.xlsx]'Coastal N Reductions'!AX28", 62.134)</f>
        <v>62.134</v>
      </c>
      <c r="O184" s="40">
        <f>HYPERLINK("[N&amp;P with New retention and Differentiation.xlsx]'Coastal N Reductions'!AX28", 67.764)</f>
        <v>67.763999999999996</v>
      </c>
      <c r="P184" s="42">
        <f>N184-M184</f>
        <v>-27.414000000000001</v>
      </c>
      <c r="Q184" s="42">
        <f>O184-M184</f>
        <v>-21.784000000000006</v>
      </c>
      <c r="R184" s="40">
        <f>HYPERLINK("[N&amp;P Old retention.xlsx]'Coastal N Reductions'!BF28", 17124.5543047927)</f>
        <v>17124.554304792699</v>
      </c>
      <c r="S184" s="40">
        <f>HYPERLINK("[N&amp;P New retention.xlsx]'Coastal N Reductions'!BF28", 19255.567242236)</f>
        <v>19255.567242236</v>
      </c>
      <c r="T184" s="40">
        <f>HYPERLINK("[N&amp;P with New retention and Differentiation.xlsx]'Coastal N Reductions'!BF28", 16479.409242236)</f>
        <v>16479.409242236001</v>
      </c>
      <c r="U184" s="41">
        <f>S184-R184</f>
        <v>2131.0129374433018</v>
      </c>
      <c r="V184" s="42">
        <f>T184-R184</f>
        <v>-645.14506255669767</v>
      </c>
      <c r="W184" s="40">
        <f>HYPERLINK("[N&amp;P Old retention.xlsx]'Coastal N Reductions'!BI28", 4237.84599906471)</f>
        <v>4237.8459990647098</v>
      </c>
      <c r="X184" s="40">
        <f>HYPERLINK("[N&amp;P New retention.xlsx]'Coastal N Reductions'!BI28", 1775.08017972692)</f>
        <v>1775.0801797269201</v>
      </c>
      <c r="Y184" s="40">
        <f>HYPERLINK("[N&amp;P with New retention and Differentiation.xlsx]'Coastal N Reductions'!BI28", 2008.54617972692)</f>
        <v>2008.5461797269199</v>
      </c>
      <c r="Z184" s="42">
        <f>X184-W184</f>
        <v>-2462.7658193377897</v>
      </c>
      <c r="AA184" s="42">
        <f>Y184-W184</f>
        <v>-2229.2998193377898</v>
      </c>
      <c r="AB184" s="18"/>
      <c r="AC184" s="18"/>
      <c r="AD184" s="18"/>
      <c r="AE184" s="18"/>
      <c r="AF184" s="18"/>
      <c r="AG184" s="40">
        <f>HYPERLINK("[N&amp;P Old retention.xlsx]'Coastal N Reductions'!BH28", 4666.90286702994)</f>
        <v>4666.9028670299404</v>
      </c>
      <c r="AH184" s="40">
        <f>HYPERLINK("[N&amp;P New retention.xlsx]'Coastal N Reductions'!BH28", 4585.43212680132)</f>
        <v>4585.43212680132</v>
      </c>
      <c r="AI184" s="40">
        <f>HYPERLINK("[N&amp;P with New retention and Differentiation.xlsx]'Coastal N Reductions'!BH28", 4642.96801274837)</f>
        <v>4642.9680127483698</v>
      </c>
      <c r="AJ184" s="42">
        <f>AH184-AG184</f>
        <v>-81.470740228620343</v>
      </c>
      <c r="AK184" s="42">
        <f>AI184-AG184</f>
        <v>-23.934854281570551</v>
      </c>
      <c r="AL184" s="40">
        <f>HYPERLINK("[N&amp;P Old retention.xlsx]'Coastal N Reductions'!AZ28", 55.3944)</f>
        <v>55.394399999999997</v>
      </c>
      <c r="AM184" s="40">
        <f>HYPERLINK("[N&amp;P New retention.xlsx]'Coastal N Reductions'!AZ28", 23.1612)</f>
        <v>23.161200000000001</v>
      </c>
      <c r="AN184" s="40">
        <f>HYPERLINK("[N&amp;P with New retention and Differentiation.xlsx]'Coastal N Reductions'!AZ28", 23.1612)</f>
        <v>23.161200000000001</v>
      </c>
      <c r="AO184" s="42">
        <f>AM184-AL184</f>
        <v>-32.233199999999997</v>
      </c>
      <c r="AP184" s="42">
        <f>AN184-AL184</f>
        <v>-32.233199999999997</v>
      </c>
      <c r="AQ184" s="40">
        <f>HYPERLINK("[N&amp;P Old retention.xlsx]'Coastal N Reductions'!BE28", 173.701858490566)</f>
        <v>173.701858490566</v>
      </c>
      <c r="AR184" s="18"/>
      <c r="AS184" s="18"/>
      <c r="AT184" s="42">
        <f>AR184-AQ184</f>
        <v>-173.701858490566</v>
      </c>
      <c r="AU184" s="42">
        <f>AS184-AQ184</f>
        <v>-173.701858490566</v>
      </c>
      <c r="AV184" s="18"/>
      <c r="AW184" s="18"/>
      <c r="AX184" s="40">
        <f>HYPERLINK("[N&amp;P with New retention and Differentiation.xlsx]'Coastal N Reductions'!BC28", 18.8)</f>
        <v>18.8</v>
      </c>
      <c r="AY184" s="18"/>
      <c r="AZ184" s="41">
        <f>AX184-AV184</f>
        <v>18.8</v>
      </c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</row>
    <row r="185" spans="1:62" x14ac:dyDescent="0.55000000000000004">
      <c r="A185" s="31">
        <v>133</v>
      </c>
      <c r="B185" s="5" t="s">
        <v>221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</row>
    <row r="186" spans="1:62" x14ac:dyDescent="0.55000000000000004">
      <c r="A186" s="30">
        <v>136</v>
      </c>
      <c r="B186" s="6" t="s">
        <v>222</v>
      </c>
      <c r="C186" s="40">
        <f>HYPERLINK("[N&amp;P Old retention.xlsx]'Coastal N Reductions'!BD30", 17512.5550596252)</f>
        <v>17512.5550596252</v>
      </c>
      <c r="D186" s="40">
        <f>HYPERLINK("[N&amp;P New retention.xlsx]'Coastal N Reductions'!BD30", 14137.6590596252)</f>
        <v>14137.659059625201</v>
      </c>
      <c r="E186" s="40">
        <f>HYPERLINK("[N&amp;P with New retention and Differentiation.xlsx]'Coastal N Reductions'!BD30", 14162.0390596252)</f>
        <v>14162.0390596252</v>
      </c>
      <c r="F186" s="42">
        <f>D186-C186</f>
        <v>-3374.8959999999988</v>
      </c>
      <c r="G186" s="42">
        <f>E186-C186</f>
        <v>-3350.5159999999996</v>
      </c>
      <c r="H186" s="40">
        <f>HYPERLINK("[N&amp;P Old retention.xlsx]'Coastal N Reductions'!AV30", 826.512)</f>
        <v>826.51199999999994</v>
      </c>
      <c r="I186" s="40">
        <f>HYPERLINK("[N&amp;P New retention.xlsx]'Coastal N Reductions'!AV30", 94.646)</f>
        <v>94.646000000000001</v>
      </c>
      <c r="J186" s="40">
        <f>HYPERLINK("[N&amp;P with New retention and Differentiation.xlsx]'Coastal N Reductions'!AV30", 80.6)</f>
        <v>80.599999999999994</v>
      </c>
      <c r="K186" s="42">
        <f>I186-H186</f>
        <v>-731.86599999999999</v>
      </c>
      <c r="L186" s="42">
        <f>J186-H186</f>
        <v>-745.91199999999992</v>
      </c>
      <c r="M186" s="40">
        <f>HYPERLINK("[N&amp;P Old retention.xlsx]'Coastal N Reductions'!AX30", 321.702)</f>
        <v>321.702</v>
      </c>
      <c r="N186" s="40">
        <f>HYPERLINK("[N&amp;P New retention.xlsx]'Coastal N Reductions'!AX30", 38.276)</f>
        <v>38.276000000000003</v>
      </c>
      <c r="O186" s="40">
        <f>HYPERLINK("[N&amp;P with New retention and Differentiation.xlsx]'Coastal N Reductions'!AX30", 37.216)</f>
        <v>37.216000000000001</v>
      </c>
      <c r="P186" s="42">
        <f>N186-M186</f>
        <v>-283.42599999999999</v>
      </c>
      <c r="Q186" s="42">
        <f>O186-M186</f>
        <v>-284.48599999999999</v>
      </c>
      <c r="R186" s="40">
        <f>HYPERLINK("[N&amp;P Old retention.xlsx]'Coastal N Reductions'!BF30", 7191.28505150224)</f>
        <v>7191.2850515022401</v>
      </c>
      <c r="S186" s="40">
        <f>HYPERLINK("[N&amp;P New retention.xlsx]'Coastal N Reductions'!BF30", 6674.90249279779)</f>
        <v>6674.9024927977898</v>
      </c>
      <c r="T186" s="40">
        <f>HYPERLINK("[N&amp;P with New retention and Differentiation.xlsx]'Coastal N Reductions'!BF30", 6704.12249279779)</f>
        <v>6704.1224927977901</v>
      </c>
      <c r="U186" s="42">
        <f>S186-R186</f>
        <v>-516.38255870445028</v>
      </c>
      <c r="V186" s="42">
        <f>T186-R186</f>
        <v>-487.16255870445002</v>
      </c>
      <c r="W186" s="40">
        <f>HYPERLINK("[N&amp;P Old retention.xlsx]'Coastal N Reductions'!BI30", 0.016)</f>
        <v>1.6E-2</v>
      </c>
      <c r="X186" s="18"/>
      <c r="Y186" s="18"/>
      <c r="Z186" s="42">
        <f>X186-W186</f>
        <v>-1.6E-2</v>
      </c>
      <c r="AA186" s="42">
        <f>Y186-W186</f>
        <v>-1.6E-2</v>
      </c>
      <c r="AB186" s="26">
        <f>HYPERLINK("[N&amp;P Old retention.xlsx]'Coastal N Reductions'!BS30", 20629.9999999809)</f>
        <v>20629.999999980901</v>
      </c>
      <c r="AC186" s="26">
        <f>HYPERLINK("[N&amp;P New retention.xlsx]'Coastal N Reductions'!BS30", 20629.9999999841)</f>
        <v>20629.999999984098</v>
      </c>
      <c r="AD186" s="26">
        <f>HYPERLINK("[N&amp;P with New retention and Differentiation.xlsx]'Coastal N Reductions'!BS30", 20609.9999999844)</f>
        <v>20609.9999999844</v>
      </c>
      <c r="AE186" s="16">
        <f>AC186-AB186</f>
        <v>3.1977833714336157E-9</v>
      </c>
      <c r="AF186" s="21">
        <f>AD186-AB186</f>
        <v>-19.999999996500264</v>
      </c>
      <c r="AG186" s="40">
        <f>HYPERLINK("[N&amp;P Old retention.xlsx]'Coastal N Reductions'!BH30", 574.785318978922)</f>
        <v>574.78531897892196</v>
      </c>
      <c r="AH186" s="40">
        <f>HYPERLINK("[N&amp;P New retention.xlsx]'Coastal N Reductions'!BH30", 293.277218112328)</f>
        <v>293.277218112328</v>
      </c>
      <c r="AI186" s="40">
        <f>HYPERLINK("[N&amp;P with New retention and Differentiation.xlsx]'Coastal N Reductions'!BH30", 282.597218112328)</f>
        <v>282.59721811232799</v>
      </c>
      <c r="AJ186" s="42">
        <f>AH186-AG186</f>
        <v>-281.50810086659396</v>
      </c>
      <c r="AK186" s="42">
        <f>AI186-AG186</f>
        <v>-292.18810086659397</v>
      </c>
      <c r="AL186" s="40">
        <f>HYPERLINK("[N&amp;P Old retention.xlsx]'Coastal N Reductions'!AZ30", 2.061)</f>
        <v>2.0609999999999999</v>
      </c>
      <c r="AM186" s="18"/>
      <c r="AN186" s="18"/>
      <c r="AO186" s="42">
        <f>AM186-AL186</f>
        <v>-2.0609999999999999</v>
      </c>
      <c r="AP186" s="42">
        <f>AN186-AL186</f>
        <v>-2.0609999999999999</v>
      </c>
      <c r="AQ186" s="40">
        <f>HYPERLINK("[N&amp;P Old retention.xlsx]'Coastal N Reductions'!BE30", 1.56)</f>
        <v>1.56</v>
      </c>
      <c r="AR186" s="18"/>
      <c r="AS186" s="18"/>
      <c r="AT186" s="42">
        <f>AR186-AQ186</f>
        <v>-1.56</v>
      </c>
      <c r="AU186" s="42">
        <f>AS186-AQ186</f>
        <v>-1.56</v>
      </c>
      <c r="AV186" s="18"/>
      <c r="AW186" s="18"/>
      <c r="AX186" s="18"/>
      <c r="AY186" s="18"/>
      <c r="AZ186" s="18"/>
      <c r="BA186" s="40">
        <f>HYPERLINK("[N&amp;P Old retention.xlsx]'Coastal N Reductions'!BP30", 459.826)</f>
        <v>459.82600000000002</v>
      </c>
      <c r="BB186" s="40">
        <f>HYPERLINK("[N&amp;P New retention.xlsx]'Coastal N Reductions'!BP30", 489.55)</f>
        <v>489.55</v>
      </c>
      <c r="BC186" s="40">
        <f>HYPERLINK("[N&amp;P with New retention and Differentiation.xlsx]'Coastal N Reductions'!BP30", 442.896)</f>
        <v>442.89600000000002</v>
      </c>
      <c r="BD186" s="41">
        <f>BB186-BA186</f>
        <v>29.72399999999999</v>
      </c>
      <c r="BE186" s="42">
        <f>BC186-BA186</f>
        <v>-16.930000000000007</v>
      </c>
      <c r="BF186" s="26">
        <f>HYPERLINK("[N&amp;P Old retention.xlsx]'Coastal N Reductions'!BT30", 2)</f>
        <v>2</v>
      </c>
      <c r="BG186" s="26">
        <f>HYPERLINK("[N&amp;P New retention.xlsx]'Coastal N Reductions'!BT30", 2)</f>
        <v>2</v>
      </c>
      <c r="BH186" s="26">
        <f>HYPERLINK("[N&amp;P with New retention and Differentiation.xlsx]'Coastal N Reductions'!BT30", 2)</f>
        <v>2</v>
      </c>
      <c r="BI186" s="18"/>
      <c r="BJ186" s="18"/>
    </row>
    <row r="187" spans="1:62" x14ac:dyDescent="0.55000000000000004">
      <c r="A187" s="31">
        <v>137</v>
      </c>
      <c r="B187" s="5" t="s">
        <v>223</v>
      </c>
      <c r="C187" s="43">
        <f>HYPERLINK("[N&amp;P Old retention.xlsx]'Coastal N Reductions'!BD31", 328.304)</f>
        <v>328.30399999999997</v>
      </c>
      <c r="D187" s="43">
        <f>HYPERLINK("[N&amp;P New retention.xlsx]'Coastal N Reductions'!BD31", 278.556)</f>
        <v>278.55599999999998</v>
      </c>
      <c r="E187" s="43">
        <f>HYPERLINK("[N&amp;P with New retention and Differentiation.xlsx]'Coastal N Reductions'!BD31", 278.556)</f>
        <v>278.55599999999998</v>
      </c>
      <c r="F187" s="42">
        <f>D187-C187</f>
        <v>-49.74799999999999</v>
      </c>
      <c r="G187" s="42">
        <f>E187-C187</f>
        <v>-49.74799999999999</v>
      </c>
      <c r="H187" s="43">
        <f>HYPERLINK("[N&amp;P Old retention.xlsx]'Coastal N Reductions'!AV31", 26.946)</f>
        <v>26.946000000000002</v>
      </c>
      <c r="I187" s="13"/>
      <c r="J187" s="13"/>
      <c r="K187" s="42">
        <f>I187-H187</f>
        <v>-26.946000000000002</v>
      </c>
      <c r="L187" s="42">
        <f>J187-H187</f>
        <v>-26.946000000000002</v>
      </c>
      <c r="M187" s="43">
        <f>HYPERLINK("[N&amp;P Old retention.xlsx]'Coastal N Reductions'!AX31", 18.096)</f>
        <v>18.096</v>
      </c>
      <c r="N187" s="43">
        <f>HYPERLINK("[N&amp;P New retention.xlsx]'Coastal N Reductions'!AX31", 13.81)</f>
        <v>13.81</v>
      </c>
      <c r="O187" s="43">
        <f>HYPERLINK("[N&amp;P with New retention and Differentiation.xlsx]'Coastal N Reductions'!AX31", 13.178)</f>
        <v>13.178000000000001</v>
      </c>
      <c r="P187" s="42">
        <f>N187-M187</f>
        <v>-4.2859999999999996</v>
      </c>
      <c r="Q187" s="42">
        <f>O187-M187</f>
        <v>-4.9179999999999993</v>
      </c>
      <c r="R187" s="43">
        <f>HYPERLINK("[N&amp;P Old retention.xlsx]'Coastal N Reductions'!BF31", 21.07)</f>
        <v>21.07</v>
      </c>
      <c r="S187" s="43">
        <f>HYPERLINK("[N&amp;P New retention.xlsx]'Coastal N Reductions'!BF31", 18.98)</f>
        <v>18.98</v>
      </c>
      <c r="T187" s="43">
        <f>HYPERLINK("[N&amp;P with New retention and Differentiation.xlsx]'Coastal N Reductions'!BF31", 20.31)</f>
        <v>20.309999999999999</v>
      </c>
      <c r="U187" s="42">
        <f>S187-R187</f>
        <v>-2.09</v>
      </c>
      <c r="V187" s="42">
        <f>T187-R187</f>
        <v>-0.76000000000000156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43">
        <f>HYPERLINK("[N&amp;P Old retention.xlsx]'Coastal N Reductions'!BH31", 251.01)</f>
        <v>251.01</v>
      </c>
      <c r="AH187" s="43">
        <f>HYPERLINK("[N&amp;P New retention.xlsx]'Coastal N Reductions'!BH31", 188.882)</f>
        <v>188.88200000000001</v>
      </c>
      <c r="AI187" s="43">
        <f>HYPERLINK("[N&amp;P with New retention and Differentiation.xlsx]'Coastal N Reductions'!BH31", 183.162)</f>
        <v>183.16200000000001</v>
      </c>
      <c r="AJ187" s="42">
        <f>AH187-AG187</f>
        <v>-62.127999999999986</v>
      </c>
      <c r="AK187" s="42">
        <f>AI187-AG187</f>
        <v>-67.847999999999985</v>
      </c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</row>
    <row r="188" spans="1:62" x14ac:dyDescent="0.55000000000000004">
      <c r="A188" s="30">
        <v>138</v>
      </c>
      <c r="B188" s="6" t="s">
        <v>224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</row>
    <row r="189" spans="1:62" x14ac:dyDescent="0.55000000000000004">
      <c r="A189" s="31">
        <v>139</v>
      </c>
      <c r="B189" s="5" t="s">
        <v>225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</row>
    <row r="190" spans="1:62" x14ac:dyDescent="0.55000000000000004">
      <c r="A190" s="30">
        <v>140</v>
      </c>
      <c r="B190" s="6" t="s">
        <v>226</v>
      </c>
      <c r="C190" s="40">
        <f>HYPERLINK("[N&amp;P Old retention.xlsx]'Coastal N Reductions'!BD34", 2312.384)</f>
        <v>2312.384</v>
      </c>
      <c r="D190" s="40">
        <f>HYPERLINK("[N&amp;P New retention.xlsx]'Coastal N Reductions'!BD34", 1955.31)</f>
        <v>1955.31</v>
      </c>
      <c r="E190" s="40">
        <f>HYPERLINK("[N&amp;P with New retention and Differentiation.xlsx]'Coastal N Reductions'!BD34", 1967.65)</f>
        <v>1967.65</v>
      </c>
      <c r="F190" s="42">
        <f>D190-C190</f>
        <v>-357.07400000000007</v>
      </c>
      <c r="G190" s="42">
        <f>E190-C190</f>
        <v>-344.73399999999992</v>
      </c>
      <c r="H190" s="40">
        <f>HYPERLINK("[N&amp;P Old retention.xlsx]'Coastal N Reductions'!AV34", 805.158)</f>
        <v>805.15800000000002</v>
      </c>
      <c r="I190" s="40">
        <f>HYPERLINK("[N&amp;P New retention.xlsx]'Coastal N Reductions'!AV34", 1237.29)</f>
        <v>1237.29</v>
      </c>
      <c r="J190" s="40">
        <f>HYPERLINK("[N&amp;P with New retention and Differentiation.xlsx]'Coastal N Reductions'!AV34", 1230.096)</f>
        <v>1230.096</v>
      </c>
      <c r="K190" s="41">
        <f>I190-H190</f>
        <v>432.13199999999995</v>
      </c>
      <c r="L190" s="41">
        <f>J190-H190</f>
        <v>424.93799999999999</v>
      </c>
      <c r="M190" s="40">
        <f>HYPERLINK("[N&amp;P Old retention.xlsx]'Coastal N Reductions'!AX34", 206.298)</f>
        <v>206.298</v>
      </c>
      <c r="N190" s="40">
        <f>HYPERLINK("[N&amp;P New retention.xlsx]'Coastal N Reductions'!AX34", 85.316)</f>
        <v>85.316000000000003</v>
      </c>
      <c r="O190" s="40">
        <f>HYPERLINK("[N&amp;P with New retention and Differentiation.xlsx]'Coastal N Reductions'!AX34", 85.316)</f>
        <v>85.316000000000003</v>
      </c>
      <c r="P190" s="42">
        <f>N190-M190</f>
        <v>-120.982</v>
      </c>
      <c r="Q190" s="42">
        <f>O190-M190</f>
        <v>-120.982</v>
      </c>
      <c r="R190" s="18"/>
      <c r="S190" s="18"/>
      <c r="T190" s="18"/>
      <c r="U190" s="18"/>
      <c r="V190" s="18"/>
      <c r="W190" s="40">
        <f>HYPERLINK("[N&amp;P Old retention.xlsx]'Coastal N Reductions'!BI34", 188.7)</f>
        <v>188.7</v>
      </c>
      <c r="X190" s="18"/>
      <c r="Y190" s="18"/>
      <c r="Z190" s="42">
        <f>X190-W190</f>
        <v>-188.7</v>
      </c>
      <c r="AA190" s="42">
        <f>Y190-W190</f>
        <v>-188.7</v>
      </c>
      <c r="AB190" s="26">
        <f>HYPERLINK("[N&amp;P Old retention.xlsx]'Coastal N Reductions'!BS34", 50)</f>
        <v>50</v>
      </c>
      <c r="AC190" s="26">
        <f>HYPERLINK("[N&amp;P New retention.xlsx]'Coastal N Reductions'!BS34", 20)</f>
        <v>20</v>
      </c>
      <c r="AD190" s="18"/>
      <c r="AE190" s="21">
        <f>AC190-AB190</f>
        <v>-30</v>
      </c>
      <c r="AF190" s="21">
        <f>AD190-AB190</f>
        <v>-50</v>
      </c>
      <c r="AG190" s="40">
        <f>HYPERLINK("[N&amp;P Old retention.xlsx]'Coastal N Reductions'!BH34", 317.89)</f>
        <v>317.89</v>
      </c>
      <c r="AH190" s="40">
        <f>HYPERLINK("[N&amp;P New retention.xlsx]'Coastal N Reductions'!BH34", 222.408)</f>
        <v>222.40799999999999</v>
      </c>
      <c r="AI190" s="40">
        <f>HYPERLINK("[N&amp;P with New retention and Differentiation.xlsx]'Coastal N Reductions'!BH34", 223.348)</f>
        <v>223.34800000000001</v>
      </c>
      <c r="AJ190" s="42">
        <f>AH190-AG190</f>
        <v>-95.481999999999999</v>
      </c>
      <c r="AK190" s="42">
        <f>AI190-AG190</f>
        <v>-94.541999999999973</v>
      </c>
      <c r="AL190" s="40">
        <f>HYPERLINK("[N&amp;P Old retention.xlsx]'Coastal N Reductions'!AZ34", 27.636)</f>
        <v>27.635999999999999</v>
      </c>
      <c r="AM190" s="18"/>
      <c r="AN190" s="18"/>
      <c r="AO190" s="42">
        <f>AM190-AL190</f>
        <v>-27.635999999999999</v>
      </c>
      <c r="AP190" s="42">
        <f>AN190-AL190</f>
        <v>-27.635999999999999</v>
      </c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</row>
    <row r="191" spans="1:62" x14ac:dyDescent="0.55000000000000004">
      <c r="A191" s="31">
        <v>141</v>
      </c>
      <c r="B191" s="5" t="s">
        <v>227</v>
      </c>
      <c r="C191" s="43">
        <f>HYPERLINK("[N&amp;P Old retention.xlsx]'Coastal N Reductions'!BD35", 19.07)</f>
        <v>19.07</v>
      </c>
      <c r="D191" s="43">
        <f>HYPERLINK("[N&amp;P New retention.xlsx]'Coastal N Reductions'!BD35", 18.39)</f>
        <v>18.39</v>
      </c>
      <c r="E191" s="43">
        <f>HYPERLINK("[N&amp;P with New retention and Differentiation.xlsx]'Coastal N Reductions'!BD35", 19.82)</f>
        <v>19.82</v>
      </c>
      <c r="F191" s="42">
        <f>D191-C191</f>
        <v>-0.67999999999999972</v>
      </c>
      <c r="G191" s="41">
        <f>E191-C191</f>
        <v>0.75</v>
      </c>
      <c r="H191" s="43">
        <f>HYPERLINK("[N&amp;P Old retention.xlsx]'Coastal N Reductions'!AV35", 1.224)</f>
        <v>1.224</v>
      </c>
      <c r="I191" s="43">
        <f>HYPERLINK("[N&amp;P New retention.xlsx]'Coastal N Reductions'!AV35", 0.864)</f>
        <v>0.86399999999999999</v>
      </c>
      <c r="J191" s="43">
        <f>HYPERLINK("[N&amp;P with New retention and Differentiation.xlsx]'Coastal N Reductions'!AV35", 0.94)</f>
        <v>0.94</v>
      </c>
      <c r="K191" s="42">
        <f>I191-H191</f>
        <v>-0.36</v>
      </c>
      <c r="L191" s="42">
        <f>J191-H191</f>
        <v>-0.28400000000000003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43">
        <f>HYPERLINK("[N&amp;P Old retention.xlsx]'Coastal N Reductions'!BH35", 1.39)</f>
        <v>1.39</v>
      </c>
      <c r="AH191" s="43">
        <f>HYPERLINK("[N&amp;P New retention.xlsx]'Coastal N Reductions'!BH35", 0.97)</f>
        <v>0.97</v>
      </c>
      <c r="AI191" s="43">
        <f>HYPERLINK("[N&amp;P with New retention and Differentiation.xlsx]'Coastal N Reductions'!BH35", 0.97)</f>
        <v>0.97</v>
      </c>
      <c r="AJ191" s="42">
        <f>AH191-AG191</f>
        <v>-0.41999999999999993</v>
      </c>
      <c r="AK191" s="42">
        <f>AI191-AG191</f>
        <v>-0.41999999999999993</v>
      </c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</row>
    <row r="192" spans="1:62" x14ac:dyDescent="0.55000000000000004">
      <c r="A192" s="30">
        <v>142</v>
      </c>
      <c r="B192" s="6" t="s">
        <v>228</v>
      </c>
      <c r="C192" s="18"/>
      <c r="D192" s="18"/>
      <c r="E192" s="18"/>
      <c r="F192" s="18"/>
      <c r="G192" s="18"/>
      <c r="H192" s="18"/>
      <c r="I192" s="40">
        <f>HYPERLINK("[N&amp;P New retention.xlsx]'Coastal N Reductions'!AV36", 53.62)</f>
        <v>53.62</v>
      </c>
      <c r="J192" s="40">
        <f>HYPERLINK("[N&amp;P with New retention and Differentiation.xlsx]'Coastal N Reductions'!AV36", 51.26)</f>
        <v>51.26</v>
      </c>
      <c r="K192" s="41">
        <f>I192-H192</f>
        <v>53.62</v>
      </c>
      <c r="L192" s="41">
        <f>J192-H192</f>
        <v>51.26</v>
      </c>
      <c r="M192" s="18"/>
      <c r="N192" s="18"/>
      <c r="O192" s="18"/>
      <c r="P192" s="18"/>
      <c r="Q192" s="18"/>
      <c r="R192" s="18"/>
      <c r="S192" s="40">
        <f>HYPERLINK("[N&amp;P New retention.xlsx]'Coastal N Reductions'!BF36", 3.54)</f>
        <v>3.54</v>
      </c>
      <c r="T192" s="40">
        <f>HYPERLINK("[N&amp;P with New retention and Differentiation.xlsx]'Coastal N Reductions'!BF36", 7.06)</f>
        <v>7.06</v>
      </c>
      <c r="U192" s="41">
        <f>S192-R192</f>
        <v>3.54</v>
      </c>
      <c r="V192" s="41">
        <f>T192-R192</f>
        <v>7.06</v>
      </c>
      <c r="W192" s="40">
        <f>HYPERLINK("[N&amp;P Old retention.xlsx]'Coastal N Reductions'!BI36", 7.81199862167521)</f>
        <v>7.81199862167521</v>
      </c>
      <c r="X192" s="40">
        <f>HYPERLINK("[N&amp;P New retention.xlsx]'Coastal N Reductions'!BI36", 0.552)</f>
        <v>0.55200000000000005</v>
      </c>
      <c r="Y192" s="40">
        <f>HYPERLINK("[N&amp;P with New retention and Differentiation.xlsx]'Coastal N Reductions'!BI36", 0.336)</f>
        <v>0.33600000000000002</v>
      </c>
      <c r="Z192" s="42">
        <f>X192-W192</f>
        <v>-7.2599986216752104</v>
      </c>
      <c r="AA192" s="42">
        <f>Y192-W192</f>
        <v>-7.4759986216752097</v>
      </c>
      <c r="AB192" s="18"/>
      <c r="AC192" s="18"/>
      <c r="AD192" s="18"/>
      <c r="AE192" s="18"/>
      <c r="AF192" s="18"/>
      <c r="AG192" s="40">
        <f>HYPERLINK("[N&amp;P Old retention.xlsx]'Coastal N Reductions'!BH36", 2.674)</f>
        <v>2.6739999999999999</v>
      </c>
      <c r="AH192" s="40">
        <f>HYPERLINK("[N&amp;P New retention.xlsx]'Coastal N Reductions'!BH36", 4.518)</f>
        <v>4.5179999999999998</v>
      </c>
      <c r="AI192" s="40">
        <f>HYPERLINK("[N&amp;P with New retention and Differentiation.xlsx]'Coastal N Reductions'!BH36", 4.518)</f>
        <v>4.5179999999999998</v>
      </c>
      <c r="AJ192" s="41">
        <f>AH192-AG192</f>
        <v>1.8439999999999999</v>
      </c>
      <c r="AK192" s="41">
        <f>AI192-AG192</f>
        <v>1.8439999999999999</v>
      </c>
      <c r="AL192" s="18"/>
      <c r="AM192" s="40">
        <f>HYPERLINK("[N&amp;P New retention.xlsx]'Coastal N Reductions'!AZ36", 13.9524)</f>
        <v>13.952400000000001</v>
      </c>
      <c r="AN192" s="40">
        <f>HYPERLINK("[N&amp;P with New retention and Differentiation.xlsx]'Coastal N Reductions'!AZ36", 13.9968)</f>
        <v>13.9968</v>
      </c>
      <c r="AO192" s="41">
        <f>AM192-AL192</f>
        <v>13.952400000000001</v>
      </c>
      <c r="AP192" s="41">
        <f>AN192-AL192</f>
        <v>13.9968</v>
      </c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</row>
    <row r="193" spans="1:62" x14ac:dyDescent="0.55000000000000004">
      <c r="A193" s="31">
        <v>144</v>
      </c>
      <c r="B193" s="5" t="s">
        <v>229</v>
      </c>
      <c r="C193" s="43">
        <f>HYPERLINK("[N&amp;P Old retention.xlsx]'Coastal N Reductions'!BD37", 41.948)</f>
        <v>41.948</v>
      </c>
      <c r="D193" s="43">
        <f>HYPERLINK("[N&amp;P New retention.xlsx]'Coastal N Reductions'!BD37", 100.638)</f>
        <v>100.63800000000001</v>
      </c>
      <c r="E193" s="43">
        <f>HYPERLINK("[N&amp;P with New retention and Differentiation.xlsx]'Coastal N Reductions'!BD37", 103.558)</f>
        <v>103.55800000000001</v>
      </c>
      <c r="F193" s="41">
        <f>D193-C193</f>
        <v>58.690000000000005</v>
      </c>
      <c r="G193" s="41">
        <f>E193-C193</f>
        <v>61.610000000000007</v>
      </c>
      <c r="H193" s="13"/>
      <c r="I193" s="43">
        <f>HYPERLINK("[N&amp;P New retention.xlsx]'Coastal N Reductions'!AV37", 6.418)</f>
        <v>6.4180000000000001</v>
      </c>
      <c r="J193" s="43">
        <f>HYPERLINK("[N&amp;P with New retention and Differentiation.xlsx]'Coastal N Reductions'!AV37", 4.736)</f>
        <v>4.7359999999999998</v>
      </c>
      <c r="K193" s="41">
        <f>I193-H193</f>
        <v>6.4180000000000001</v>
      </c>
      <c r="L193" s="41">
        <f>J193-H193</f>
        <v>4.7359999999999998</v>
      </c>
      <c r="M193" s="43">
        <f>HYPERLINK("[N&amp;P Old retention.xlsx]'Coastal N Reductions'!AX37", 28.534)</f>
        <v>28.533999999999999</v>
      </c>
      <c r="N193" s="43">
        <f>HYPERLINK("[N&amp;P New retention.xlsx]'Coastal N Reductions'!AX37", 49.704)</f>
        <v>49.704000000000001</v>
      </c>
      <c r="O193" s="43">
        <f>HYPERLINK("[N&amp;P with New retention and Differentiation.xlsx]'Coastal N Reductions'!AX37", 49.704)</f>
        <v>49.704000000000001</v>
      </c>
      <c r="P193" s="41">
        <f>N193-M193</f>
        <v>21.17</v>
      </c>
      <c r="Q193" s="41">
        <f>O193-M193</f>
        <v>21.17</v>
      </c>
      <c r="R193" s="13"/>
      <c r="S193" s="13"/>
      <c r="T193" s="13"/>
      <c r="U193" s="13"/>
      <c r="V193" s="13"/>
      <c r="W193" s="43">
        <f>HYPERLINK("[N&amp;P Old retention.xlsx]'Coastal N Reductions'!BI37", 10.51)</f>
        <v>10.51</v>
      </c>
      <c r="X193" s="43">
        <f>HYPERLINK("[N&amp;P New retention.xlsx]'Coastal N Reductions'!BI37", 0.0099999999999999)</f>
        <v>9.9999999999998996E-3</v>
      </c>
      <c r="Y193" s="13"/>
      <c r="Z193" s="42">
        <f>X193-W193</f>
        <v>-10.5</v>
      </c>
      <c r="AA193" s="42">
        <f>Y193-W193</f>
        <v>-10.51</v>
      </c>
      <c r="AB193" s="13"/>
      <c r="AC193" s="13"/>
      <c r="AD193" s="13"/>
      <c r="AE193" s="13"/>
      <c r="AF193" s="13"/>
      <c r="AG193" s="43">
        <f>HYPERLINK("[N&amp;P Old retention.xlsx]'Coastal N Reductions'!BH37", 1.22)</f>
        <v>1.22</v>
      </c>
      <c r="AH193" s="43">
        <f>HYPERLINK("[N&amp;P New retention.xlsx]'Coastal N Reductions'!BH37", 0.27)</f>
        <v>0.27</v>
      </c>
      <c r="AI193" s="43">
        <f>HYPERLINK("[N&amp;P with New retention and Differentiation.xlsx]'Coastal N Reductions'!BH37", 0.27)</f>
        <v>0.27</v>
      </c>
      <c r="AJ193" s="42">
        <f>AH193-AG193</f>
        <v>-0.95</v>
      </c>
      <c r="AK193" s="42">
        <f>AI193-AG193</f>
        <v>-0.95</v>
      </c>
      <c r="AL193" s="43">
        <f>HYPERLINK("[N&amp;P Old retention.xlsx]'Coastal N Reductions'!AZ37", 3.432)</f>
        <v>3.4319999999999999</v>
      </c>
      <c r="AM193" s="43">
        <f>HYPERLINK("[N&amp;P New retention.xlsx]'Coastal N Reductions'!AZ37", 0.4392)</f>
        <v>0.43919999999999998</v>
      </c>
      <c r="AN193" s="43">
        <f>HYPERLINK("[N&amp;P with New retention and Differentiation.xlsx]'Coastal N Reductions'!AZ37", 0.6384)</f>
        <v>0.63839999999999997</v>
      </c>
      <c r="AO193" s="42">
        <f>AM193-AL193</f>
        <v>-2.9927999999999999</v>
      </c>
      <c r="AP193" s="42">
        <f>AN193-AL193</f>
        <v>-2.7936000000000001</v>
      </c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</row>
    <row r="194" spans="1:62" x14ac:dyDescent="0.55000000000000004">
      <c r="A194" s="30">
        <v>145</v>
      </c>
      <c r="B194" s="6" t="s">
        <v>230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</row>
    <row r="195" spans="1:62" x14ac:dyDescent="0.55000000000000004">
      <c r="A195" s="31">
        <v>146</v>
      </c>
      <c r="B195" s="5" t="s">
        <v>231</v>
      </c>
      <c r="C195" s="43">
        <f>HYPERLINK("[N&amp;P Old retention.xlsx]'Coastal N Reductions'!BD39", 195.564)</f>
        <v>195.56399999999999</v>
      </c>
      <c r="D195" s="43">
        <f>HYPERLINK("[N&amp;P New retention.xlsx]'Coastal N Reductions'!BD39", 278.881999999961)</f>
        <v>278.88199999996101</v>
      </c>
      <c r="E195" s="13"/>
      <c r="F195" s="41">
        <f>D195-C195</f>
        <v>83.317999999961017</v>
      </c>
      <c r="G195" s="42">
        <f>E195-C195</f>
        <v>-195.56399999999999</v>
      </c>
      <c r="H195" s="43">
        <f>HYPERLINK("[N&amp;P Old retention.xlsx]'Coastal N Reductions'!AV39", 290.402)</f>
        <v>290.40199999999999</v>
      </c>
      <c r="I195" s="43">
        <f>HYPERLINK("[N&amp;P New retention.xlsx]'Coastal N Reductions'!AV39", 189.026)</f>
        <v>189.02600000000001</v>
      </c>
      <c r="J195" s="43">
        <f>HYPERLINK("[N&amp;P with New retention and Differentiation.xlsx]'Coastal N Reductions'!AV39", 178.478)</f>
        <v>178.47800000000001</v>
      </c>
      <c r="K195" s="42">
        <f>I195-H195</f>
        <v>-101.37599999999998</v>
      </c>
      <c r="L195" s="42">
        <f>J195-H195</f>
        <v>-111.92399999999998</v>
      </c>
      <c r="M195" s="43">
        <f>HYPERLINK("[N&amp;P Old retention.xlsx]'Coastal N Reductions'!AX39", 154.406)</f>
        <v>154.40600000000001</v>
      </c>
      <c r="N195" s="43">
        <f>HYPERLINK("[N&amp;P New retention.xlsx]'Coastal N Reductions'!AX39", 140.434)</f>
        <v>140.434</v>
      </c>
      <c r="O195" s="43">
        <f>HYPERLINK("[N&amp;P with New retention and Differentiation.xlsx]'Coastal N Reductions'!AX39", 140.434)</f>
        <v>140.434</v>
      </c>
      <c r="P195" s="42">
        <f>N195-M195</f>
        <v>-13.972000000000008</v>
      </c>
      <c r="Q195" s="42">
        <f>O195-M195</f>
        <v>-13.972000000000008</v>
      </c>
      <c r="R195" s="43">
        <f>HYPERLINK("[N&amp;P Old retention.xlsx]'Coastal N Reductions'!BF39", 78.62)</f>
        <v>78.62</v>
      </c>
      <c r="S195" s="43">
        <f>HYPERLINK("[N&amp;P New retention.xlsx]'Coastal N Reductions'!BF39", 44.342)</f>
        <v>44.341999999999999</v>
      </c>
      <c r="T195" s="43">
        <f>HYPERLINK("[N&amp;P with New retention and Differentiation.xlsx]'Coastal N Reductions'!BF39", 361.198)</f>
        <v>361.19799999999998</v>
      </c>
      <c r="U195" s="42">
        <f>S195-R195</f>
        <v>-34.278000000000006</v>
      </c>
      <c r="V195" s="41">
        <f>T195-R195</f>
        <v>282.57799999999997</v>
      </c>
      <c r="W195" s="43">
        <f>HYPERLINK("[N&amp;P Old retention.xlsx]'Coastal N Reductions'!BI39", 12.454)</f>
        <v>12.454000000000001</v>
      </c>
      <c r="X195" s="43">
        <f>HYPERLINK("[N&amp;P New retention.xlsx]'Coastal N Reductions'!BI39", 14.144)</f>
        <v>14.144</v>
      </c>
      <c r="Y195" s="43">
        <f>HYPERLINK("[N&amp;P with New retention and Differentiation.xlsx]'Coastal N Reductions'!BI39", 14.144)</f>
        <v>14.144</v>
      </c>
      <c r="Z195" s="41">
        <f>X195-W195</f>
        <v>1.6899999999999995</v>
      </c>
      <c r="AA195" s="41">
        <f>Y195-W195</f>
        <v>1.6899999999999995</v>
      </c>
      <c r="AB195" s="13"/>
      <c r="AC195" s="13"/>
      <c r="AD195" s="13"/>
      <c r="AE195" s="13"/>
      <c r="AF195" s="13"/>
      <c r="AG195" s="43">
        <f>HYPERLINK("[N&amp;P Old retention.xlsx]'Coastal N Reductions'!BH39", 16.72)</f>
        <v>16.72</v>
      </c>
      <c r="AH195" s="43">
        <f>HYPERLINK("[N&amp;P New retention.xlsx]'Coastal N Reductions'!BH39", 12.94)</f>
        <v>12.94</v>
      </c>
      <c r="AI195" s="43">
        <f>HYPERLINK("[N&amp;P with New retention and Differentiation.xlsx]'Coastal N Reductions'!BH39", 12.81)</f>
        <v>12.81</v>
      </c>
      <c r="AJ195" s="42">
        <f>AH195-AG195</f>
        <v>-3.7799999999999994</v>
      </c>
      <c r="AK195" s="42">
        <f>AI195-AG195</f>
        <v>-3.9099999999999984</v>
      </c>
      <c r="AL195" s="43">
        <f>HYPERLINK("[N&amp;P Old retention.xlsx]'Coastal N Reductions'!AZ39", 116.9016)</f>
        <v>116.9016</v>
      </c>
      <c r="AM195" s="43">
        <f>HYPERLINK("[N&amp;P New retention.xlsx]'Coastal N Reductions'!AZ39", 164.5434)</f>
        <v>164.54339999999999</v>
      </c>
      <c r="AN195" s="43">
        <f>HYPERLINK("[N&amp;P with New retention and Differentiation.xlsx]'Coastal N Reductions'!AZ39", 85.467)</f>
        <v>85.466999999999999</v>
      </c>
      <c r="AO195" s="41">
        <f>AM195-AL195</f>
        <v>47.641799999999989</v>
      </c>
      <c r="AP195" s="42">
        <f>AN195-AL195</f>
        <v>-31.434600000000003</v>
      </c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</row>
    <row r="196" spans="1:62" x14ac:dyDescent="0.55000000000000004">
      <c r="A196" s="30">
        <v>147</v>
      </c>
      <c r="B196" s="6" t="s">
        <v>232</v>
      </c>
      <c r="C196" s="40">
        <f>HYPERLINK("[N&amp;P Old retention.xlsx]'Coastal N Reductions'!BD40", 111.6)</f>
        <v>111.6</v>
      </c>
      <c r="D196" s="40">
        <f>HYPERLINK("[N&amp;P New retention.xlsx]'Coastal N Reductions'!BD40", 107.3)</f>
        <v>107.3</v>
      </c>
      <c r="E196" s="40">
        <f>HYPERLINK("[N&amp;P with New retention and Differentiation.xlsx]'Coastal N Reductions'!BD40", 105.88)</f>
        <v>105.88</v>
      </c>
      <c r="F196" s="42">
        <f>D196-C196</f>
        <v>-4.2999999999999972</v>
      </c>
      <c r="G196" s="42">
        <f>E196-C196</f>
        <v>-5.7199999999999989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40">
        <f>HYPERLINK("[N&amp;P Old retention.xlsx]'Coastal N Reductions'!BF40", 39.546)</f>
        <v>39.545999999999999</v>
      </c>
      <c r="S196" s="40">
        <f>HYPERLINK("[N&amp;P New retention.xlsx]'Coastal N Reductions'!BF40", 39.546)</f>
        <v>39.545999999999999</v>
      </c>
      <c r="T196" s="40">
        <f>HYPERLINK("[N&amp;P with New retention and Differentiation.xlsx]'Coastal N Reductions'!BF40", 39.546)</f>
        <v>39.545999999999999</v>
      </c>
      <c r="U196" s="18"/>
      <c r="V196" s="18"/>
      <c r="W196" s="18"/>
      <c r="X196" s="18"/>
      <c r="Y196" s="18"/>
      <c r="Z196" s="18"/>
      <c r="AA196" s="18"/>
      <c r="AB196" s="26">
        <f>HYPERLINK("[N&amp;P Old retention.xlsx]'Coastal N Reductions'!BS40", 5200)</f>
        <v>5200</v>
      </c>
      <c r="AC196" s="26">
        <f>HYPERLINK("[N&amp;P New retention.xlsx]'Coastal N Reductions'!BS40", 5200)</f>
        <v>5200</v>
      </c>
      <c r="AD196" s="26">
        <f>HYPERLINK("[N&amp;P with New retention and Differentiation.xlsx]'Coastal N Reductions'!BS40", 5200)</f>
        <v>5200</v>
      </c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40">
        <f>HYPERLINK("[N&amp;P Old retention.xlsx]'Coastal N Reductions'!BP40", 2439.584)</f>
        <v>2439.5839999999998</v>
      </c>
      <c r="BB196" s="40">
        <f>HYPERLINK("[N&amp;P New retention.xlsx]'Coastal N Reductions'!BP40", 2506.638)</f>
        <v>2506.6379999999999</v>
      </c>
      <c r="BC196" s="40">
        <f>HYPERLINK("[N&amp;P with New retention and Differentiation.xlsx]'Coastal N Reductions'!BP40", 2452.664)</f>
        <v>2452.6640000000002</v>
      </c>
      <c r="BD196" s="41">
        <f>BB196-BA196</f>
        <v>67.054000000000087</v>
      </c>
      <c r="BE196" s="41">
        <f>BC196-BA196</f>
        <v>13.080000000000382</v>
      </c>
      <c r="BF196" s="26">
        <f>HYPERLINK("[N&amp;P Old retention.xlsx]'Coastal N Reductions'!BT40", 1)</f>
        <v>1</v>
      </c>
      <c r="BG196" s="26">
        <f>HYPERLINK("[N&amp;P New retention.xlsx]'Coastal N Reductions'!BT40", 1)</f>
        <v>1</v>
      </c>
      <c r="BH196" s="26">
        <f>HYPERLINK("[N&amp;P with New retention and Differentiation.xlsx]'Coastal N Reductions'!BT40", 1)</f>
        <v>1</v>
      </c>
      <c r="BI196" s="18"/>
      <c r="BJ196" s="18"/>
    </row>
    <row r="197" spans="1:62" x14ac:dyDescent="0.55000000000000004">
      <c r="A197" s="31">
        <v>154</v>
      </c>
      <c r="B197" s="5" t="s">
        <v>233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</row>
    <row r="198" spans="1:62" x14ac:dyDescent="0.55000000000000004">
      <c r="A198" s="30">
        <v>157</v>
      </c>
      <c r="B198" s="6" t="s">
        <v>234</v>
      </c>
      <c r="C198" s="40">
        <f>HYPERLINK("[N&amp;P Old retention.xlsx]'Coastal N Reductions'!BD42", 5932.828)</f>
        <v>5932.8280000000004</v>
      </c>
      <c r="D198" s="40">
        <f>HYPERLINK("[N&amp;P New retention.xlsx]'Coastal N Reductions'!BD42", 5219.258)</f>
        <v>5219.2579999999998</v>
      </c>
      <c r="E198" s="40">
        <f>HYPERLINK("[N&amp;P with New retention and Differentiation.xlsx]'Coastal N Reductions'!BD42", 5248.188)</f>
        <v>5248.1880000000001</v>
      </c>
      <c r="F198" s="42">
        <f>D198-C198</f>
        <v>-713.57000000000062</v>
      </c>
      <c r="G198" s="42">
        <f>E198-C198</f>
        <v>-684.64000000000033</v>
      </c>
      <c r="H198" s="40">
        <f>HYPERLINK("[N&amp;P Old retention.xlsx]'Coastal N Reductions'!AV42", 6372.438)</f>
        <v>6372.4380000000001</v>
      </c>
      <c r="I198" s="40">
        <f>HYPERLINK("[N&amp;P New retention.xlsx]'Coastal N Reductions'!AV42", 5724.454)</f>
        <v>5724.4539999999997</v>
      </c>
      <c r="J198" s="40">
        <f>HYPERLINK("[N&amp;P with New retention and Differentiation.xlsx]'Coastal N Reductions'!AV42", 5738.632)</f>
        <v>5738.6319999999996</v>
      </c>
      <c r="K198" s="42">
        <f>I198-H198</f>
        <v>-647.98400000000038</v>
      </c>
      <c r="L198" s="42">
        <f>J198-H198</f>
        <v>-633.80600000000049</v>
      </c>
      <c r="M198" s="40">
        <f>HYPERLINK("[N&amp;P Old retention.xlsx]'Coastal N Reductions'!AX42", 206.79)</f>
        <v>206.79</v>
      </c>
      <c r="N198" s="40">
        <f>HYPERLINK("[N&amp;P New retention.xlsx]'Coastal N Reductions'!AX42", 145.386)</f>
        <v>145.386</v>
      </c>
      <c r="O198" s="40">
        <f>HYPERLINK("[N&amp;P with New retention and Differentiation.xlsx]'Coastal N Reductions'!AX42", 145.386)</f>
        <v>145.386</v>
      </c>
      <c r="P198" s="42">
        <f>N198-M198</f>
        <v>-61.403999999999996</v>
      </c>
      <c r="Q198" s="42">
        <f>O198-M198</f>
        <v>-61.403999999999996</v>
      </c>
      <c r="R198" s="40">
        <f>HYPERLINK("[N&amp;P Old retention.xlsx]'Coastal N Reductions'!BF42", 4038.36010062893)</f>
        <v>4038.36010062893</v>
      </c>
      <c r="S198" s="40">
        <f>HYPERLINK("[N&amp;P New retention.xlsx]'Coastal N Reductions'!BF42", 4499.718)</f>
        <v>4499.7179999999998</v>
      </c>
      <c r="T198" s="40">
        <f>HYPERLINK("[N&amp;P with New retention and Differentiation.xlsx]'Coastal N Reductions'!BF42", 4372.668)</f>
        <v>4372.6679999999997</v>
      </c>
      <c r="U198" s="41">
        <f>S198-R198</f>
        <v>461.35789937106983</v>
      </c>
      <c r="V198" s="41">
        <f>T198-R198</f>
        <v>334.30789937106965</v>
      </c>
      <c r="W198" s="40">
        <f>HYPERLINK("[N&amp;P Old retention.xlsx]'Coastal N Reductions'!BI42", 1404.528)</f>
        <v>1404.528</v>
      </c>
      <c r="X198" s="40">
        <f>HYPERLINK("[N&amp;P New retention.xlsx]'Coastal N Reductions'!BI42", 1286.212)</f>
        <v>1286.212</v>
      </c>
      <c r="Y198" s="40">
        <f>HYPERLINK("[N&amp;P with New retention and Differentiation.xlsx]'Coastal N Reductions'!BI42", 1303.072)</f>
        <v>1303.0719999999999</v>
      </c>
      <c r="Z198" s="42">
        <f>X198-W198</f>
        <v>-118.31600000000003</v>
      </c>
      <c r="AA198" s="42">
        <f>Y198-W198</f>
        <v>-101.45600000000013</v>
      </c>
      <c r="AB198" s="18"/>
      <c r="AC198" s="18"/>
      <c r="AD198" s="18"/>
      <c r="AE198" s="18"/>
      <c r="AF198" s="18"/>
      <c r="AG198" s="40">
        <f>HYPERLINK("[N&amp;P Old retention.xlsx]'Coastal N Reductions'!BH42", 352.961164948454)</f>
        <v>352.96116494845398</v>
      </c>
      <c r="AH198" s="40">
        <f>HYPERLINK("[N&amp;P New retention.xlsx]'Coastal N Reductions'!BH42", 381.435164948454)</f>
        <v>381.43516494845397</v>
      </c>
      <c r="AI198" s="40">
        <f>HYPERLINK("[N&amp;P with New retention and Differentiation.xlsx]'Coastal N Reductions'!BH42", 382.675164948454)</f>
        <v>382.67516494845398</v>
      </c>
      <c r="AJ198" s="41">
        <f>AH198-AG198</f>
        <v>28.47399999999999</v>
      </c>
      <c r="AK198" s="41">
        <f>AI198-AG198</f>
        <v>29.713999999999999</v>
      </c>
      <c r="AL198" s="40">
        <f>HYPERLINK("[N&amp;P Old retention.xlsx]'Coastal N Reductions'!AZ42", 387.252)</f>
        <v>387.25200000000001</v>
      </c>
      <c r="AM198" s="40">
        <f>HYPERLINK("[N&amp;P New retention.xlsx]'Coastal N Reductions'!AZ42", 385.1538)</f>
        <v>385.15379999999999</v>
      </c>
      <c r="AN198" s="40">
        <f>HYPERLINK("[N&amp;P with New retention and Differentiation.xlsx]'Coastal N Reductions'!AZ42", 384.9246)</f>
        <v>384.9246</v>
      </c>
      <c r="AO198" s="42">
        <f>AM198-AL198</f>
        <v>-2.0982000000000198</v>
      </c>
      <c r="AP198" s="42">
        <f>AN198-AL198</f>
        <v>-2.3274000000000115</v>
      </c>
      <c r="AQ198" s="40">
        <f>HYPERLINK("[N&amp;P Old retention.xlsx]'Coastal N Reductions'!BE42", 0.01)</f>
        <v>0.01</v>
      </c>
      <c r="AR198" s="18"/>
      <c r="AS198" s="18"/>
      <c r="AT198" s="42">
        <f>AR198-AQ198</f>
        <v>-0.01</v>
      </c>
      <c r="AU198" s="42">
        <f>AS198-AQ198</f>
        <v>-0.01</v>
      </c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</row>
    <row r="199" spans="1:62" x14ac:dyDescent="0.55000000000000004">
      <c r="A199" s="31">
        <v>158</v>
      </c>
      <c r="B199" s="5" t="s">
        <v>235</v>
      </c>
      <c r="C199" s="43">
        <f>HYPERLINK("[N&amp;P Old retention.xlsx]'Coastal N Reductions'!BD43", 18914.13)</f>
        <v>18914.13</v>
      </c>
      <c r="D199" s="43">
        <f>HYPERLINK("[N&amp;P New retention.xlsx]'Coastal N Reductions'!BD43", 18341.832)</f>
        <v>18341.831999999999</v>
      </c>
      <c r="E199" s="43">
        <f>HYPERLINK("[N&amp;P with New retention and Differentiation.xlsx]'Coastal N Reductions'!BD43", 18340.502)</f>
        <v>18340.502</v>
      </c>
      <c r="F199" s="42">
        <f>D199-C199</f>
        <v>-572.2980000000025</v>
      </c>
      <c r="G199" s="42">
        <f>E199-C199</f>
        <v>-573.62800000000061</v>
      </c>
      <c r="H199" s="43">
        <f>HYPERLINK("[N&amp;P Old retention.xlsx]'Coastal N Reductions'!AV43", 5372.918)</f>
        <v>5372.9179999999997</v>
      </c>
      <c r="I199" s="43">
        <f>HYPERLINK("[N&amp;P New retention.xlsx]'Coastal N Reductions'!AV43", 5470.668)</f>
        <v>5470.6679999999997</v>
      </c>
      <c r="J199" s="43">
        <f>HYPERLINK("[N&amp;P with New retention and Differentiation.xlsx]'Coastal N Reductions'!AV43", 5484.018)</f>
        <v>5484.018</v>
      </c>
      <c r="K199" s="41">
        <f>I199-H199</f>
        <v>97.75</v>
      </c>
      <c r="L199" s="41">
        <f>J199-H199</f>
        <v>111.10000000000036</v>
      </c>
      <c r="M199" s="43">
        <f>HYPERLINK("[N&amp;P Old retention.xlsx]'Coastal N Reductions'!AX43", 126.022)</f>
        <v>126.02200000000001</v>
      </c>
      <c r="N199" s="43">
        <f>HYPERLINK("[N&amp;P New retention.xlsx]'Coastal N Reductions'!AX43", 86.962)</f>
        <v>86.962000000000003</v>
      </c>
      <c r="O199" s="43">
        <f>HYPERLINK("[N&amp;P with New retention and Differentiation.xlsx]'Coastal N Reductions'!AX43", 86.962)</f>
        <v>86.962000000000003</v>
      </c>
      <c r="P199" s="42">
        <f>N199-M199</f>
        <v>-39.06</v>
      </c>
      <c r="Q199" s="42">
        <f>O199-M199</f>
        <v>-39.06</v>
      </c>
      <c r="R199" s="43">
        <f>HYPERLINK("[N&amp;P Old retention.xlsx]'Coastal N Reductions'!BF43", 6075.482)</f>
        <v>6075.482</v>
      </c>
      <c r="S199" s="43">
        <f>HYPERLINK("[N&amp;P New retention.xlsx]'Coastal N Reductions'!BF43", 5276.178)</f>
        <v>5276.1779999999999</v>
      </c>
      <c r="T199" s="43">
        <f>HYPERLINK("[N&amp;P with New retention and Differentiation.xlsx]'Coastal N Reductions'!BF43", 5266.178)</f>
        <v>5266.1779999999999</v>
      </c>
      <c r="U199" s="42">
        <f>S199-R199</f>
        <v>-799.30400000000009</v>
      </c>
      <c r="V199" s="42">
        <f>T199-R199</f>
        <v>-809.30400000000009</v>
      </c>
      <c r="W199" s="43">
        <f>HYPERLINK("[N&amp;P Old retention.xlsx]'Coastal N Reductions'!BI43", 1189.166)</f>
        <v>1189.1659999999999</v>
      </c>
      <c r="X199" s="43">
        <f>HYPERLINK("[N&amp;P New retention.xlsx]'Coastal N Reductions'!BI43", 1148.066)</f>
        <v>1148.066</v>
      </c>
      <c r="Y199" s="43">
        <f>HYPERLINK("[N&amp;P with New retention and Differentiation.xlsx]'Coastal N Reductions'!BI43", 1148.066)</f>
        <v>1148.066</v>
      </c>
      <c r="Z199" s="42">
        <f>X199-W199</f>
        <v>-41.099999999999909</v>
      </c>
      <c r="AA199" s="42">
        <f>Y199-W199</f>
        <v>-41.099999999999909</v>
      </c>
      <c r="AB199" s="28">
        <f>HYPERLINK("[N&amp;P Old retention.xlsx]'Coastal N Reductions'!BS43", 340)</f>
        <v>340</v>
      </c>
      <c r="AC199" s="28">
        <f>HYPERLINK("[N&amp;P New retention.xlsx]'Coastal N Reductions'!BS43", 340)</f>
        <v>340</v>
      </c>
      <c r="AD199" s="28">
        <f>HYPERLINK("[N&amp;P with New retention and Differentiation.xlsx]'Coastal N Reductions'!BS43", 340)</f>
        <v>340</v>
      </c>
      <c r="AE199" s="13"/>
      <c r="AF199" s="13"/>
      <c r="AG199" s="43">
        <f>HYPERLINK("[N&amp;P Old retention.xlsx]'Coastal N Reductions'!BH43", 97.996)</f>
        <v>97.995999999999995</v>
      </c>
      <c r="AH199" s="43">
        <f>HYPERLINK("[N&amp;P New retention.xlsx]'Coastal N Reductions'!BH43", 108.424)</f>
        <v>108.42400000000001</v>
      </c>
      <c r="AI199" s="43">
        <f>HYPERLINK("[N&amp;P with New retention and Differentiation.xlsx]'Coastal N Reductions'!BH43", 108.504)</f>
        <v>108.504</v>
      </c>
      <c r="AJ199" s="41">
        <f>AH199-AG199</f>
        <v>10.428000000000011</v>
      </c>
      <c r="AK199" s="41">
        <f>AI199-AG199</f>
        <v>10.50800000000001</v>
      </c>
      <c r="AL199" s="43">
        <f>HYPERLINK("[N&amp;P Old retention.xlsx]'Coastal N Reductions'!AZ43", 263.2128)</f>
        <v>263.21280000000002</v>
      </c>
      <c r="AM199" s="43">
        <f>HYPERLINK("[N&amp;P New retention.xlsx]'Coastal N Reductions'!AZ43", 269.8392)</f>
        <v>269.83920000000001</v>
      </c>
      <c r="AN199" s="43">
        <f>HYPERLINK("[N&amp;P with New retention and Differentiation.xlsx]'Coastal N Reductions'!AZ43", 269.8392)</f>
        <v>269.83920000000001</v>
      </c>
      <c r="AO199" s="41">
        <f>AM199-AL199</f>
        <v>6.6263999999999896</v>
      </c>
      <c r="AP199" s="41">
        <f>AN199-AL199</f>
        <v>6.6263999999999896</v>
      </c>
      <c r="AQ199" s="43">
        <f>HYPERLINK("[N&amp;P Old retention.xlsx]'Coastal N Reductions'!BE43", 2.46)</f>
        <v>2.46</v>
      </c>
      <c r="AR199" s="43">
        <f>HYPERLINK("[N&amp;P New retention.xlsx]'Coastal N Reductions'!BE43", 1.51)</f>
        <v>1.51</v>
      </c>
      <c r="AS199" s="43">
        <f>HYPERLINK("[N&amp;P with New retention and Differentiation.xlsx]'Coastal N Reductions'!BE43", 1.51)</f>
        <v>1.51</v>
      </c>
      <c r="AT199" s="42">
        <f>AR199-AQ199</f>
        <v>-0.95</v>
      </c>
      <c r="AU199" s="42">
        <f>AS199-AQ199</f>
        <v>-0.95</v>
      </c>
      <c r="AV199" s="43">
        <f>HYPERLINK("[N&amp;P Old retention.xlsx]'Coastal N Reductions'!BC43", 0.02)</f>
        <v>0.02</v>
      </c>
      <c r="AW199" s="13"/>
      <c r="AX199" s="43">
        <f>HYPERLINK("[N&amp;P with New retention and Differentiation.xlsx]'Coastal N Reductions'!BC43", 2.09)</f>
        <v>2.09</v>
      </c>
      <c r="AY199" s="42">
        <f>AW199-AV199</f>
        <v>-0.02</v>
      </c>
      <c r="AZ199" s="41">
        <f>AX199-AV199</f>
        <v>2.0699999999999998</v>
      </c>
      <c r="BA199" s="43">
        <f>HYPERLINK("[N&amp;P Old retention.xlsx]'Coastal N Reductions'!BP43", 14.812)</f>
        <v>14.811999999999999</v>
      </c>
      <c r="BB199" s="43">
        <f>HYPERLINK("[N&amp;P New retention.xlsx]'Coastal N Reductions'!BP43", 2.29)</f>
        <v>2.29</v>
      </c>
      <c r="BC199" s="43">
        <f>HYPERLINK("[N&amp;P with New retention and Differentiation.xlsx]'Coastal N Reductions'!BP43", 17.4)</f>
        <v>17.399999999999999</v>
      </c>
      <c r="BD199" s="42">
        <f>BB199-BA199</f>
        <v>-12.521999999999998</v>
      </c>
      <c r="BE199" s="41">
        <f>BC199-BA199</f>
        <v>2.5879999999999992</v>
      </c>
      <c r="BF199" s="13"/>
      <c r="BG199" s="13"/>
      <c r="BH199" s="13"/>
      <c r="BI199" s="13"/>
      <c r="BJ199" s="13"/>
    </row>
    <row r="200" spans="1:62" x14ac:dyDescent="0.55000000000000004">
      <c r="A200" s="30">
        <v>159</v>
      </c>
      <c r="B200" s="6" t="s">
        <v>236</v>
      </c>
      <c r="C200" s="40">
        <f>HYPERLINK("[N&amp;P Old retention.xlsx]'Coastal N Reductions'!BD44", 6644.338)</f>
        <v>6644.3379999999997</v>
      </c>
      <c r="D200" s="40">
        <f>HYPERLINK("[N&amp;P New retention.xlsx]'Coastal N Reductions'!BD44", 4866.044)</f>
        <v>4866.0439999999999</v>
      </c>
      <c r="E200" s="40">
        <f>HYPERLINK("[N&amp;P with New retention and Differentiation.xlsx]'Coastal N Reductions'!BD44", 4866.51)</f>
        <v>4866.51</v>
      </c>
      <c r="F200" s="42">
        <f>D200-C200</f>
        <v>-1778.2939999999999</v>
      </c>
      <c r="G200" s="42">
        <f>E200-C200</f>
        <v>-1777.8279999999995</v>
      </c>
      <c r="H200" s="40">
        <f>HYPERLINK("[N&amp;P Old retention.xlsx]'Coastal N Reductions'!AV44", 1029.59)</f>
        <v>1029.5899999999999</v>
      </c>
      <c r="I200" s="40">
        <f>HYPERLINK("[N&amp;P New retention.xlsx]'Coastal N Reductions'!AV44", 1425.972)</f>
        <v>1425.972</v>
      </c>
      <c r="J200" s="40">
        <f>HYPERLINK("[N&amp;P with New retention and Differentiation.xlsx]'Coastal N Reductions'!AV44", 1427.682)</f>
        <v>1427.682</v>
      </c>
      <c r="K200" s="41">
        <f>I200-H200</f>
        <v>396.38200000000006</v>
      </c>
      <c r="L200" s="41">
        <f>J200-H200</f>
        <v>398.0920000000001</v>
      </c>
      <c r="M200" s="40">
        <f>HYPERLINK("[N&amp;P Old retention.xlsx]'Coastal N Reductions'!AX44", 37.428)</f>
        <v>37.427999999999997</v>
      </c>
      <c r="N200" s="40">
        <f>HYPERLINK("[N&amp;P New retention.xlsx]'Coastal N Reductions'!AX44", 2.15)</f>
        <v>2.15</v>
      </c>
      <c r="O200" s="40">
        <f>HYPERLINK("[N&amp;P with New retention and Differentiation.xlsx]'Coastal N Reductions'!AX44", 2.15)</f>
        <v>2.15</v>
      </c>
      <c r="P200" s="42">
        <f>N200-M200</f>
        <v>-35.277999999999999</v>
      </c>
      <c r="Q200" s="42">
        <f>O200-M200</f>
        <v>-35.277999999999999</v>
      </c>
      <c r="R200" s="40">
        <f>HYPERLINK("[N&amp;P Old retention.xlsx]'Coastal N Reductions'!BF44", 53.5)</f>
        <v>53.5</v>
      </c>
      <c r="S200" s="40">
        <f>HYPERLINK("[N&amp;P New retention.xlsx]'Coastal N Reductions'!BF44", 36.722)</f>
        <v>36.722000000000001</v>
      </c>
      <c r="T200" s="40">
        <f>HYPERLINK("[N&amp;P with New retention and Differentiation.xlsx]'Coastal N Reductions'!BF44", 36.722)</f>
        <v>36.722000000000001</v>
      </c>
      <c r="U200" s="42">
        <f>S200-R200</f>
        <v>-16.777999999999999</v>
      </c>
      <c r="V200" s="42">
        <f>T200-R200</f>
        <v>-16.777999999999999</v>
      </c>
      <c r="W200" s="40">
        <f>HYPERLINK("[N&amp;P Old retention.xlsx]'Coastal N Reductions'!BI44", 20.912)</f>
        <v>20.911999999999999</v>
      </c>
      <c r="X200" s="18"/>
      <c r="Y200" s="18"/>
      <c r="Z200" s="42">
        <f>X200-W200</f>
        <v>-20.911999999999999</v>
      </c>
      <c r="AA200" s="42">
        <f>Y200-W200</f>
        <v>-20.911999999999999</v>
      </c>
      <c r="AB200" s="26">
        <f>HYPERLINK("[N&amp;P Old retention.xlsx]'Coastal N Reductions'!BS44", 290)</f>
        <v>290</v>
      </c>
      <c r="AC200" s="26">
        <f>HYPERLINK("[N&amp;P New retention.xlsx]'Coastal N Reductions'!BS44", 290)</f>
        <v>290</v>
      </c>
      <c r="AD200" s="26">
        <f>HYPERLINK("[N&amp;P with New retention and Differentiation.xlsx]'Coastal N Reductions'!BS44", 290)</f>
        <v>290</v>
      </c>
      <c r="AE200" s="18"/>
      <c r="AF200" s="18"/>
      <c r="AG200" s="40">
        <f>HYPERLINK("[N&amp;P Old retention.xlsx]'Coastal N Reductions'!BH44", 21.158)</f>
        <v>21.158000000000001</v>
      </c>
      <c r="AH200" s="40">
        <f>HYPERLINK("[N&amp;P New retention.xlsx]'Coastal N Reductions'!BH44", 16.22)</f>
        <v>16.22</v>
      </c>
      <c r="AI200" s="40">
        <f>HYPERLINK("[N&amp;P with New retention and Differentiation.xlsx]'Coastal N Reductions'!BH44", 16.35)</f>
        <v>16.350000000000001</v>
      </c>
      <c r="AJ200" s="42">
        <f>AH200-AG200</f>
        <v>-4.9380000000000024</v>
      </c>
      <c r="AK200" s="42">
        <f>AI200-AG200</f>
        <v>-4.8079999999999998</v>
      </c>
      <c r="AL200" s="40">
        <f>HYPERLINK("[N&amp;P Old retention.xlsx]'Coastal N Reductions'!AZ44", 74.94)</f>
        <v>74.94</v>
      </c>
      <c r="AM200" s="40">
        <f>HYPERLINK("[N&amp;P New retention.xlsx]'Coastal N Reductions'!AZ44", 62.7756)</f>
        <v>62.775599999999997</v>
      </c>
      <c r="AN200" s="40">
        <f>HYPERLINK("[N&amp;P with New retention and Differentiation.xlsx]'Coastal N Reductions'!AZ44", 62.9568)</f>
        <v>62.956800000000001</v>
      </c>
      <c r="AO200" s="42">
        <f>AM200-AL200</f>
        <v>-12.164400000000001</v>
      </c>
      <c r="AP200" s="42">
        <f>AN200-AL200</f>
        <v>-11.983199999999997</v>
      </c>
      <c r="AQ200" s="40">
        <f>HYPERLINK("[N&amp;P Old retention.xlsx]'Coastal N Reductions'!BE44", 16.398)</f>
        <v>16.398</v>
      </c>
      <c r="AR200" s="18"/>
      <c r="AS200" s="18"/>
      <c r="AT200" s="42">
        <f>AR200-AQ200</f>
        <v>-16.398</v>
      </c>
      <c r="AU200" s="42">
        <f>AS200-AQ200</f>
        <v>-16.398</v>
      </c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</row>
    <row r="201" spans="1:62" x14ac:dyDescent="0.55000000000000004">
      <c r="A201" s="31">
        <v>160</v>
      </c>
      <c r="B201" s="5" t="s">
        <v>237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</row>
    <row r="202" spans="1:62" x14ac:dyDescent="0.55000000000000004">
      <c r="A202" s="30">
        <v>165</v>
      </c>
      <c r="B202" s="6" t="s">
        <v>238</v>
      </c>
      <c r="C202" s="40">
        <f>HYPERLINK("[N&amp;P Old retention.xlsx]'Coastal N Reductions'!BD47", 567.474)</f>
        <v>567.47400000000005</v>
      </c>
      <c r="D202" s="40">
        <f>HYPERLINK("[N&amp;P New retention.xlsx]'Coastal N Reductions'!BD47", 898.396)</f>
        <v>898.39599999999996</v>
      </c>
      <c r="E202" s="18"/>
      <c r="F202" s="41">
        <f>D202-C202</f>
        <v>330.92199999999991</v>
      </c>
      <c r="G202" s="42">
        <f>E202-C202</f>
        <v>-567.47400000000005</v>
      </c>
      <c r="H202" s="40">
        <f>HYPERLINK("[N&amp;P Old retention.xlsx]'Coastal N Reductions'!AV47", 3121.716)</f>
        <v>3121.7159999999999</v>
      </c>
      <c r="I202" s="40">
        <f>HYPERLINK("[N&amp;P New retention.xlsx]'Coastal N Reductions'!AV47", 3009.054)</f>
        <v>3009.0540000000001</v>
      </c>
      <c r="J202" s="40">
        <f>HYPERLINK("[N&amp;P with New retention and Differentiation.xlsx]'Coastal N Reductions'!AV47", 2903.786)</f>
        <v>2903.7860000000001</v>
      </c>
      <c r="K202" s="42">
        <f>I202-H202</f>
        <v>-112.66199999999981</v>
      </c>
      <c r="L202" s="42">
        <f>J202-H202</f>
        <v>-217.92999999999984</v>
      </c>
      <c r="M202" s="40">
        <f>HYPERLINK("[N&amp;P Old retention.xlsx]'Coastal N Reductions'!AX47", 10873.386)</f>
        <v>10873.386</v>
      </c>
      <c r="N202" s="40">
        <f>HYPERLINK("[N&amp;P New retention.xlsx]'Coastal N Reductions'!AX47", 10620.616)</f>
        <v>10620.616</v>
      </c>
      <c r="O202" s="40">
        <f>HYPERLINK("[N&amp;P with New retention and Differentiation.xlsx]'Coastal N Reductions'!AX47", 10103.78)</f>
        <v>10103.780000000001</v>
      </c>
      <c r="P202" s="42">
        <f>N202-M202</f>
        <v>-252.77000000000044</v>
      </c>
      <c r="Q202" s="42">
        <f>O202-M202</f>
        <v>-769.60599999999977</v>
      </c>
      <c r="R202" s="40">
        <f>HYPERLINK("[N&amp;P Old retention.xlsx]'Coastal N Reductions'!BF47", 5283.48766863905)</f>
        <v>5283.4876686390498</v>
      </c>
      <c r="S202" s="40">
        <f>HYPERLINK("[N&amp;P New retention.xlsx]'Coastal N Reductions'!BF47", 5048.22)</f>
        <v>5048.22</v>
      </c>
      <c r="T202" s="40">
        <f>HYPERLINK("[N&amp;P with New retention and Differentiation.xlsx]'Coastal N Reductions'!BF47", 6555.29766863905)</f>
        <v>6555.2976686390502</v>
      </c>
      <c r="U202" s="42">
        <f>S202-R202</f>
        <v>-235.26766863904959</v>
      </c>
      <c r="V202" s="41">
        <f>T202-R202</f>
        <v>1271.8100000000004</v>
      </c>
      <c r="W202" s="40">
        <f>HYPERLINK("[N&amp;P Old retention.xlsx]'Coastal N Reductions'!BI47", 966.004058865081)</f>
        <v>966.00405886508099</v>
      </c>
      <c r="X202" s="40">
        <f>HYPERLINK("[N&amp;P New retention.xlsx]'Coastal N Reductions'!BI47", 978.834058865081)</f>
        <v>978.83405886508103</v>
      </c>
      <c r="Y202" s="40">
        <f>HYPERLINK("[N&amp;P with New retention and Differentiation.xlsx]'Coastal N Reductions'!BI47", 975.746058865081)</f>
        <v>975.74605886508095</v>
      </c>
      <c r="Z202" s="41">
        <f>X202-W202</f>
        <v>12.830000000000041</v>
      </c>
      <c r="AA202" s="41">
        <f>Y202-W202</f>
        <v>9.7419999999999618</v>
      </c>
      <c r="AB202" s="26">
        <f>HYPERLINK("[N&amp;P Old retention.xlsx]'Coastal N Reductions'!BS47", 2100)</f>
        <v>2100</v>
      </c>
      <c r="AC202" s="26">
        <f>HYPERLINK("[N&amp;P New retention.xlsx]'Coastal N Reductions'!BS47", 14249.9999999734)</f>
        <v>14249.999999973399</v>
      </c>
      <c r="AD202" s="26">
        <f>HYPERLINK("[N&amp;P with New retention and Differentiation.xlsx]'Coastal N Reductions'!BS47", 11949.9999999734)</f>
        <v>11949.999999973399</v>
      </c>
      <c r="AE202" s="16">
        <f>AC202-AB202</f>
        <v>12149.999999973399</v>
      </c>
      <c r="AF202" s="16">
        <f>AD202-AB202</f>
        <v>9849.9999999733991</v>
      </c>
      <c r="AG202" s="40">
        <f>HYPERLINK("[N&amp;P Old retention.xlsx]'Coastal N Reductions'!BH47", 53.542)</f>
        <v>53.542000000000002</v>
      </c>
      <c r="AH202" s="40">
        <f>HYPERLINK("[N&amp;P New retention.xlsx]'Coastal N Reductions'!BH47", 96.362)</f>
        <v>96.361999999999995</v>
      </c>
      <c r="AI202" s="40">
        <f>HYPERLINK("[N&amp;P with New retention and Differentiation.xlsx]'Coastal N Reductions'!BH47", 89.966)</f>
        <v>89.965999999999994</v>
      </c>
      <c r="AJ202" s="41">
        <f>AH202-AG202</f>
        <v>42.819999999999993</v>
      </c>
      <c r="AK202" s="41">
        <f>AI202-AG202</f>
        <v>36.423999999999992</v>
      </c>
      <c r="AL202" s="40">
        <f>HYPERLINK("[N&amp;P Old retention.xlsx]'Coastal N Reductions'!AZ47", 861.543)</f>
        <v>861.54300000000001</v>
      </c>
      <c r="AM202" s="40">
        <f>HYPERLINK("[N&amp;P New retention.xlsx]'Coastal N Reductions'!AZ47", 848.733)</f>
        <v>848.73299999999995</v>
      </c>
      <c r="AN202" s="40">
        <f>HYPERLINK("[N&amp;P with New retention and Differentiation.xlsx]'Coastal N Reductions'!AZ47", 854.001)</f>
        <v>854.00099999999998</v>
      </c>
      <c r="AO202" s="42">
        <f>AM202-AL202</f>
        <v>-12.810000000000059</v>
      </c>
      <c r="AP202" s="42">
        <f>AN202-AL202</f>
        <v>-7.54200000000003</v>
      </c>
      <c r="AQ202" s="40">
        <f>HYPERLINK("[N&amp;P Old retention.xlsx]'Coastal N Reductions'!BE47", 208.106966432037)</f>
        <v>208.10696643203701</v>
      </c>
      <c r="AR202" s="40">
        <f>HYPERLINK("[N&amp;P New retention.xlsx]'Coastal N Reductions'!BE47", 246.995197993959)</f>
        <v>246.99519799395901</v>
      </c>
      <c r="AS202" s="40">
        <f>HYPERLINK("[N&amp;P with New retention and Differentiation.xlsx]'Coastal N Reductions'!BE47", 256.329529354906)</f>
        <v>256.32952935490601</v>
      </c>
      <c r="AT202" s="41">
        <f>AR202-AQ202</f>
        <v>38.888231561921998</v>
      </c>
      <c r="AU202" s="41">
        <f>AS202-AQ202</f>
        <v>48.222562922869002</v>
      </c>
      <c r="AV202" s="40">
        <f>HYPERLINK("[N&amp;P Old retention.xlsx]'Coastal N Reductions'!BC47", 9.7)</f>
        <v>9.6999999999999993</v>
      </c>
      <c r="AW202" s="18"/>
      <c r="AX202" s="40">
        <f>HYPERLINK("[N&amp;P with New retention and Differentiation.xlsx]'Coastal N Reductions'!BC47", 13.38)</f>
        <v>13.38</v>
      </c>
      <c r="AY202" s="42">
        <f>AW202-AV202</f>
        <v>-9.6999999999999993</v>
      </c>
      <c r="AZ202" s="41">
        <f>AX202-AV202</f>
        <v>3.6800000000000015</v>
      </c>
      <c r="BA202" s="18"/>
      <c r="BB202" s="40">
        <f>HYPERLINK("[N&amp;P New retention.xlsx]'Coastal N Reductions'!BP47", 21.16)</f>
        <v>21.16</v>
      </c>
      <c r="BC202" s="18"/>
      <c r="BD202" s="41">
        <f>BB202-BA202</f>
        <v>21.16</v>
      </c>
      <c r="BE202" s="18"/>
      <c r="BF202" s="18"/>
      <c r="BG202" s="18"/>
      <c r="BH202" s="18"/>
      <c r="BI202" s="18"/>
      <c r="BJ202" s="18"/>
    </row>
    <row r="203" spans="1:62" x14ac:dyDescent="0.55000000000000004">
      <c r="A203" s="31">
        <v>200</v>
      </c>
      <c r="B203" s="5" t="s">
        <v>239</v>
      </c>
      <c r="C203" s="43">
        <f>HYPERLINK("[N&amp;P Old retention.xlsx]'Coastal N Reductions'!BD51", 1953.68)</f>
        <v>1953.68</v>
      </c>
      <c r="D203" s="43">
        <f>HYPERLINK("[N&amp;P New retention.xlsx]'Coastal N Reductions'!BD51", 2103.966)</f>
        <v>2103.9659999999999</v>
      </c>
      <c r="E203" s="13"/>
      <c r="F203" s="41">
        <f>D203-C203</f>
        <v>150.28599999999983</v>
      </c>
      <c r="G203" s="42">
        <f>E203-C203</f>
        <v>-1953.68</v>
      </c>
      <c r="H203" s="43">
        <f>HYPERLINK("[N&amp;P Old retention.xlsx]'Coastal N Reductions'!AV51", 590.958)</f>
        <v>590.95799999999997</v>
      </c>
      <c r="I203" s="43">
        <f>HYPERLINK("[N&amp;P New retention.xlsx]'Coastal N Reductions'!AV51", 511.794)</f>
        <v>511.79399999999998</v>
      </c>
      <c r="J203" s="43">
        <f>HYPERLINK("[N&amp;P with New retention and Differentiation.xlsx]'Coastal N Reductions'!AV51", 505.538)</f>
        <v>505.53800000000001</v>
      </c>
      <c r="K203" s="42">
        <f>I203-H203</f>
        <v>-79.163999999999987</v>
      </c>
      <c r="L203" s="42">
        <f>J203-H203</f>
        <v>-85.419999999999959</v>
      </c>
      <c r="M203" s="43">
        <f>HYPERLINK("[N&amp;P Old retention.xlsx]'Coastal N Reductions'!AX51", 618.768)</f>
        <v>618.76800000000003</v>
      </c>
      <c r="N203" s="43">
        <f>HYPERLINK("[N&amp;P New retention.xlsx]'Coastal N Reductions'!AX51", 717.876)</f>
        <v>717.87599999999998</v>
      </c>
      <c r="O203" s="43">
        <f>HYPERLINK("[N&amp;P with New retention and Differentiation.xlsx]'Coastal N Reductions'!AX51", 704.006)</f>
        <v>704.00599999999997</v>
      </c>
      <c r="P203" s="41">
        <f>N203-M203</f>
        <v>99.107999999999947</v>
      </c>
      <c r="Q203" s="41">
        <f>O203-M203</f>
        <v>85.237999999999943</v>
      </c>
      <c r="R203" s="43">
        <f>HYPERLINK("[N&amp;P Old retention.xlsx]'Coastal N Reductions'!BF51", 427.734)</f>
        <v>427.73399999999998</v>
      </c>
      <c r="S203" s="43">
        <f>HYPERLINK("[N&amp;P New retention.xlsx]'Coastal N Reductions'!BF51", 516.55)</f>
        <v>516.54999999999995</v>
      </c>
      <c r="T203" s="43">
        <f>HYPERLINK("[N&amp;P with New retention and Differentiation.xlsx]'Coastal N Reductions'!BF51", 2699.39)</f>
        <v>2699.39</v>
      </c>
      <c r="U203" s="41">
        <f>S203-R203</f>
        <v>88.815999999999974</v>
      </c>
      <c r="V203" s="41">
        <f>T203-R203</f>
        <v>2271.6559999999999</v>
      </c>
      <c r="W203" s="43">
        <f>HYPERLINK("[N&amp;P Old retention.xlsx]'Coastal N Reductions'!BI51", 342.448)</f>
        <v>342.44799999999998</v>
      </c>
      <c r="X203" s="43">
        <f>HYPERLINK("[N&amp;P New retention.xlsx]'Coastal N Reductions'!BI51", 350.202)</f>
        <v>350.202</v>
      </c>
      <c r="Y203" s="43">
        <f>HYPERLINK("[N&amp;P with New retention and Differentiation.xlsx]'Coastal N Reductions'!BI51", 349.12)</f>
        <v>349.12</v>
      </c>
      <c r="Z203" s="41">
        <f>X203-W203</f>
        <v>7.7540000000000191</v>
      </c>
      <c r="AA203" s="41">
        <f>Y203-W203</f>
        <v>6.6720000000000255</v>
      </c>
      <c r="AB203" s="28">
        <f>HYPERLINK("[N&amp;P Old retention.xlsx]'Coastal N Reductions'!BS51", 110)</f>
        <v>110</v>
      </c>
      <c r="AC203" s="28">
        <f>HYPERLINK("[N&amp;P New retention.xlsx]'Coastal N Reductions'!BS51", 110)</f>
        <v>110</v>
      </c>
      <c r="AD203" s="28">
        <f>HYPERLINK("[N&amp;P with New retention and Differentiation.xlsx]'Coastal N Reductions'!BS51", 110)</f>
        <v>110</v>
      </c>
      <c r="AE203" s="13"/>
      <c r="AF203" s="13"/>
      <c r="AG203" s="43">
        <f>HYPERLINK("[N&amp;P Old retention.xlsx]'Coastal N Reductions'!BH51", 43.654)</f>
        <v>43.654000000000003</v>
      </c>
      <c r="AH203" s="43">
        <f>HYPERLINK("[N&amp;P New retention.xlsx]'Coastal N Reductions'!BH51", 81.55)</f>
        <v>81.55</v>
      </c>
      <c r="AI203" s="43">
        <f>HYPERLINK("[N&amp;P with New retention and Differentiation.xlsx]'Coastal N Reductions'!BH51", 80.09)</f>
        <v>80.09</v>
      </c>
      <c r="AJ203" s="41">
        <f>AH203-AG203</f>
        <v>37.895999999999994</v>
      </c>
      <c r="AK203" s="41">
        <f>AI203-AG203</f>
        <v>36.436</v>
      </c>
      <c r="AL203" s="43">
        <f>HYPERLINK("[N&amp;P Old retention.xlsx]'Coastal N Reductions'!AZ51", 279.1662)</f>
        <v>279.1662</v>
      </c>
      <c r="AM203" s="43">
        <f>HYPERLINK("[N&amp;P New retention.xlsx]'Coastal N Reductions'!AZ51", 203.4078)</f>
        <v>203.40780000000001</v>
      </c>
      <c r="AN203" s="43">
        <f>HYPERLINK("[N&amp;P with New retention and Differentiation.xlsx]'Coastal N Reductions'!AZ51", 203.4078)</f>
        <v>203.40780000000001</v>
      </c>
      <c r="AO203" s="42">
        <f>AM203-AL203</f>
        <v>-75.758399999999995</v>
      </c>
      <c r="AP203" s="42">
        <f>AN203-AL203</f>
        <v>-75.758399999999995</v>
      </c>
      <c r="AQ203" s="43">
        <f>HYPERLINK("[N&amp;P Old retention.xlsx]'Coastal N Reductions'!BE51", 39.642)</f>
        <v>39.642000000000003</v>
      </c>
      <c r="AR203" s="43">
        <f>HYPERLINK("[N&amp;P New retention.xlsx]'Coastal N Reductions'!BE51", 105.43)</f>
        <v>105.43</v>
      </c>
      <c r="AS203" s="43">
        <f>HYPERLINK("[N&amp;P with New retention and Differentiation.xlsx]'Coastal N Reductions'!BE51", 106.75)</f>
        <v>106.75</v>
      </c>
      <c r="AT203" s="41">
        <f>AR203-AQ203</f>
        <v>65.788000000000011</v>
      </c>
      <c r="AU203" s="41">
        <f>AS203-AQ203</f>
        <v>67.108000000000004</v>
      </c>
      <c r="AV203" s="13"/>
      <c r="AW203" s="13"/>
      <c r="AX203" s="13"/>
      <c r="AY203" s="13"/>
      <c r="AZ203" s="13"/>
      <c r="BA203" s="43">
        <f>HYPERLINK("[N&amp;P Old retention.xlsx]'Coastal N Reductions'!BP51", 0.968)</f>
        <v>0.96799999999999997</v>
      </c>
      <c r="BB203" s="43">
        <f>HYPERLINK("[N&amp;P New retention.xlsx]'Coastal N Reductions'!BP51", 2.878)</f>
        <v>2.8780000000000001</v>
      </c>
      <c r="BC203" s="43">
        <f>HYPERLINK("[N&amp;P with New retention and Differentiation.xlsx]'Coastal N Reductions'!BP51", 1.504)</f>
        <v>1.504</v>
      </c>
      <c r="BD203" s="41">
        <f>BB203-BA203</f>
        <v>1.9100000000000001</v>
      </c>
      <c r="BE203" s="41">
        <f>BC203-BA203</f>
        <v>0.53600000000000003</v>
      </c>
      <c r="BF203" s="13"/>
      <c r="BG203" s="13"/>
      <c r="BH203" s="13"/>
      <c r="BI203" s="13"/>
      <c r="BJ203" s="13"/>
    </row>
    <row r="204" spans="1:62" x14ac:dyDescent="0.55000000000000004">
      <c r="A204" s="30">
        <v>201</v>
      </c>
      <c r="B204" s="6" t="s">
        <v>240</v>
      </c>
      <c r="C204" s="40">
        <f>HYPERLINK("[N&amp;P Old retention.xlsx]'Coastal N Reductions'!BD52", 10.09)</f>
        <v>10.09</v>
      </c>
      <c r="D204" s="40">
        <f>HYPERLINK("[N&amp;P New retention.xlsx]'Coastal N Reductions'!BD52", 10.09)</f>
        <v>10.09</v>
      </c>
      <c r="E204" s="18"/>
      <c r="F204" s="18"/>
      <c r="G204" s="42">
        <f>E204-C204</f>
        <v>-10.09</v>
      </c>
      <c r="H204" s="40">
        <f>HYPERLINK("[N&amp;P Old retention.xlsx]'Coastal N Reductions'!AV52", 22.222)</f>
        <v>22.222000000000001</v>
      </c>
      <c r="I204" s="40">
        <f>HYPERLINK("[N&amp;P New retention.xlsx]'Coastal N Reductions'!AV52", 25.222)</f>
        <v>25.222000000000001</v>
      </c>
      <c r="J204" s="40">
        <f>HYPERLINK("[N&amp;P with New retention and Differentiation.xlsx]'Coastal N Reductions'!AV52", 25.222)</f>
        <v>25.222000000000001</v>
      </c>
      <c r="K204" s="41">
        <f>I204-H204</f>
        <v>3</v>
      </c>
      <c r="L204" s="41">
        <f>J204-H204</f>
        <v>3</v>
      </c>
      <c r="M204" s="40">
        <f>HYPERLINK("[N&amp;P Old retention.xlsx]'Coastal N Reductions'!AX52", 659.852)</f>
        <v>659.85199999999998</v>
      </c>
      <c r="N204" s="40">
        <f>HYPERLINK("[N&amp;P New retention.xlsx]'Coastal N Reductions'!AX52", 690.33)</f>
        <v>690.33</v>
      </c>
      <c r="O204" s="40">
        <f>HYPERLINK("[N&amp;P with New retention and Differentiation.xlsx]'Coastal N Reductions'!AX52", 638.41)</f>
        <v>638.41</v>
      </c>
      <c r="P204" s="41">
        <f>N204-M204</f>
        <v>30.478000000000065</v>
      </c>
      <c r="Q204" s="42">
        <f>O204-M204</f>
        <v>-21.442000000000007</v>
      </c>
      <c r="R204" s="40">
        <f>HYPERLINK("[N&amp;P Old retention.xlsx]'Coastal N Reductions'!BF52", 36.33)</f>
        <v>36.33</v>
      </c>
      <c r="S204" s="40">
        <f>HYPERLINK("[N&amp;P New retention.xlsx]'Coastal N Reductions'!BF52", 36.84)</f>
        <v>36.840000000000003</v>
      </c>
      <c r="T204" s="40">
        <f>HYPERLINK("[N&amp;P with New retention and Differentiation.xlsx]'Coastal N Reductions'!BF52", 67.808)</f>
        <v>67.808000000000007</v>
      </c>
      <c r="U204" s="41">
        <f>S204-R204</f>
        <v>0.51000000000000512</v>
      </c>
      <c r="V204" s="41">
        <f>T204-R204</f>
        <v>31.478000000000009</v>
      </c>
      <c r="W204" s="18"/>
      <c r="X204" s="18"/>
      <c r="Y204" s="18"/>
      <c r="Z204" s="18"/>
      <c r="AA204" s="18"/>
      <c r="AB204" s="26">
        <f>HYPERLINK("[N&amp;P Old retention.xlsx]'Coastal N Reductions'!BS52", 20)</f>
        <v>20</v>
      </c>
      <c r="AC204" s="26">
        <f>HYPERLINK("[N&amp;P New retention.xlsx]'Coastal N Reductions'!BS52", 20)</f>
        <v>20</v>
      </c>
      <c r="AD204" s="26">
        <f>HYPERLINK("[N&amp;P with New retention and Differentiation.xlsx]'Coastal N Reductions'!BS52", 20)</f>
        <v>20</v>
      </c>
      <c r="AE204" s="18"/>
      <c r="AF204" s="18"/>
      <c r="AG204" s="40">
        <f>HYPERLINK("[N&amp;P Old retention.xlsx]'Coastal N Reductions'!BH52", 8.182)</f>
        <v>8.1820000000000004</v>
      </c>
      <c r="AH204" s="40">
        <f>HYPERLINK("[N&amp;P New retention.xlsx]'Coastal N Reductions'!BH52", 12.012)</f>
        <v>12.012</v>
      </c>
      <c r="AI204" s="40">
        <f>HYPERLINK("[N&amp;P with New retention and Differentiation.xlsx]'Coastal N Reductions'!BH52", 11.722)</f>
        <v>11.722</v>
      </c>
      <c r="AJ204" s="41">
        <f>AH204-AG204</f>
        <v>3.83</v>
      </c>
      <c r="AK204" s="41">
        <f>AI204-AG204</f>
        <v>3.5399999999999991</v>
      </c>
      <c r="AL204" s="40">
        <f>HYPERLINK("[N&amp;P Old retention.xlsx]'Coastal N Reductions'!AZ52", 2.142)</f>
        <v>2.1419999999999999</v>
      </c>
      <c r="AM204" s="18"/>
      <c r="AN204" s="18"/>
      <c r="AO204" s="42">
        <f>AM204-AL204</f>
        <v>-2.1419999999999999</v>
      </c>
      <c r="AP204" s="42">
        <f>AN204-AL204</f>
        <v>-2.1419999999999999</v>
      </c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40">
        <f>HYPERLINK("[N&amp;P Old retention.xlsx]'Coastal N Reductions'!BP52", 0.048)</f>
        <v>4.8000000000000001E-2</v>
      </c>
      <c r="BB204" s="18"/>
      <c r="BC204" s="18"/>
      <c r="BD204" s="42">
        <f>BB204-BA204</f>
        <v>-4.8000000000000001E-2</v>
      </c>
      <c r="BE204" s="42">
        <f>BC204-BA204</f>
        <v>-4.8000000000000001E-2</v>
      </c>
      <c r="BF204" s="18"/>
      <c r="BG204" s="18"/>
      <c r="BH204" s="18"/>
      <c r="BI204" s="18"/>
      <c r="BJ204" s="18"/>
    </row>
    <row r="205" spans="1:62" x14ac:dyDescent="0.55000000000000004">
      <c r="A205" s="31">
        <v>204</v>
      </c>
      <c r="B205" s="5" t="s">
        <v>241</v>
      </c>
      <c r="C205" s="43">
        <f>HYPERLINK("[N&amp;P Old retention.xlsx]'Coastal N Reductions'!BD53", 330.476)</f>
        <v>330.476</v>
      </c>
      <c r="D205" s="43">
        <f>HYPERLINK("[N&amp;P New retention.xlsx]'Coastal N Reductions'!BD53", 491.718)</f>
        <v>491.71800000000002</v>
      </c>
      <c r="E205" s="13"/>
      <c r="F205" s="41">
        <f>D205-C205</f>
        <v>161.24200000000002</v>
      </c>
      <c r="G205" s="42">
        <f>E205-C205</f>
        <v>-330.476</v>
      </c>
      <c r="H205" s="43">
        <f>HYPERLINK("[N&amp;P Old retention.xlsx]'Coastal N Reductions'!AV53", 2696.06)</f>
        <v>2696.06</v>
      </c>
      <c r="I205" s="43">
        <f>HYPERLINK("[N&amp;P New retention.xlsx]'Coastal N Reductions'!AV53", 4067.874)</f>
        <v>4067.8739999999998</v>
      </c>
      <c r="J205" s="43">
        <f>HYPERLINK("[N&amp;P with New retention and Differentiation.xlsx]'Coastal N Reductions'!AV53", 3864.67)</f>
        <v>3864.67</v>
      </c>
      <c r="K205" s="41">
        <f>I205-H205</f>
        <v>1371.8139999999999</v>
      </c>
      <c r="L205" s="41">
        <f>J205-H205</f>
        <v>1168.6100000000001</v>
      </c>
      <c r="M205" s="43">
        <f>HYPERLINK("[N&amp;P Old retention.xlsx]'Coastal N Reductions'!AX53", 10534.22)</f>
        <v>10534.22</v>
      </c>
      <c r="N205" s="43">
        <f>HYPERLINK("[N&amp;P New retention.xlsx]'Coastal N Reductions'!AX53", 12574.112)</f>
        <v>12574.111999999999</v>
      </c>
      <c r="O205" s="43">
        <f>HYPERLINK("[N&amp;P with New retention and Differentiation.xlsx]'Coastal N Reductions'!AX53", 11820.424)</f>
        <v>11820.424000000001</v>
      </c>
      <c r="P205" s="41">
        <f>N205-M205</f>
        <v>2039.8919999999998</v>
      </c>
      <c r="Q205" s="41">
        <f>O205-M205</f>
        <v>1286.2040000000015</v>
      </c>
      <c r="R205" s="43">
        <f>HYPERLINK("[N&amp;P Old retention.xlsx]'Coastal N Reductions'!BF53", 3171.898)</f>
        <v>3171.8980000000001</v>
      </c>
      <c r="S205" s="43">
        <f>HYPERLINK("[N&amp;P New retention.xlsx]'Coastal N Reductions'!BF53", 3427)</f>
        <v>3427</v>
      </c>
      <c r="T205" s="43">
        <f>HYPERLINK("[N&amp;P with New retention and Differentiation.xlsx]'Coastal N Reductions'!BF53", 4758.96182481752)</f>
        <v>4758.9618248175202</v>
      </c>
      <c r="U205" s="41">
        <f>S205-R205</f>
        <v>255.10199999999986</v>
      </c>
      <c r="V205" s="41">
        <f>T205-R205</f>
        <v>1587.0638248175201</v>
      </c>
      <c r="W205" s="43">
        <f>HYPERLINK("[N&amp;P Old retention.xlsx]'Coastal N Reductions'!BI53", 864.854)</f>
        <v>864.85400000000004</v>
      </c>
      <c r="X205" s="43">
        <f>HYPERLINK("[N&amp;P New retention.xlsx]'Coastal N Reductions'!BI53", 874.898)</f>
        <v>874.89800000000002</v>
      </c>
      <c r="Y205" s="43">
        <f>HYPERLINK("[N&amp;P with New retention and Differentiation.xlsx]'Coastal N Reductions'!BI53", 875.6)</f>
        <v>875.6</v>
      </c>
      <c r="Z205" s="41">
        <f>X205-W205</f>
        <v>10.043999999999983</v>
      </c>
      <c r="AA205" s="41">
        <f>Y205-W205</f>
        <v>10.745999999999981</v>
      </c>
      <c r="AB205" s="28">
        <f>HYPERLINK("[N&amp;P Old retention.xlsx]'Coastal N Reductions'!BS53", 370)</f>
        <v>370</v>
      </c>
      <c r="AC205" s="28">
        <f>HYPERLINK("[N&amp;P New retention.xlsx]'Coastal N Reductions'!BS53", 370)</f>
        <v>370</v>
      </c>
      <c r="AD205" s="28">
        <f>HYPERLINK("[N&amp;P with New retention and Differentiation.xlsx]'Coastal N Reductions'!BS53", 370)</f>
        <v>370</v>
      </c>
      <c r="AE205" s="13"/>
      <c r="AF205" s="13"/>
      <c r="AG205" s="43">
        <f>HYPERLINK("[N&amp;P Old retention.xlsx]'Coastal N Reductions'!BH53", 62.394)</f>
        <v>62.393999999999998</v>
      </c>
      <c r="AH205" s="43">
        <f>HYPERLINK("[N&amp;P New retention.xlsx]'Coastal N Reductions'!BH53", 113.712)</f>
        <v>113.712</v>
      </c>
      <c r="AI205" s="43">
        <f>HYPERLINK("[N&amp;P with New retention and Differentiation.xlsx]'Coastal N Reductions'!BH53", 101.598)</f>
        <v>101.598</v>
      </c>
      <c r="AJ205" s="41">
        <f>AH205-AG205</f>
        <v>51.318000000000005</v>
      </c>
      <c r="AK205" s="41">
        <f>AI205-AG205</f>
        <v>39.204000000000001</v>
      </c>
      <c r="AL205" s="43">
        <f>HYPERLINK("[N&amp;P Old retention.xlsx]'Coastal N Reductions'!AZ53", 2194.1364)</f>
        <v>2194.1363999999999</v>
      </c>
      <c r="AM205" s="43">
        <f>HYPERLINK("[N&amp;P New retention.xlsx]'Coastal N Reductions'!AZ53", 2824.0554)</f>
        <v>2824.0554000000002</v>
      </c>
      <c r="AN205" s="43">
        <f>HYPERLINK("[N&amp;P with New retention and Differentiation.xlsx]'Coastal N Reductions'!AZ53", 2941.1694)</f>
        <v>2941.1694000000002</v>
      </c>
      <c r="AO205" s="41">
        <f>AM205-AL205</f>
        <v>629.91900000000032</v>
      </c>
      <c r="AP205" s="41">
        <f>AN205-AL205</f>
        <v>747.03300000000036</v>
      </c>
      <c r="AQ205" s="43">
        <f>HYPERLINK("[N&amp;P Old retention.xlsx]'Coastal N Reductions'!BE53", 134.82)</f>
        <v>134.82</v>
      </c>
      <c r="AR205" s="43">
        <f>HYPERLINK("[N&amp;P New retention.xlsx]'Coastal N Reductions'!BE53", 553.936)</f>
        <v>553.93600000000004</v>
      </c>
      <c r="AS205" s="43">
        <f>HYPERLINK("[N&amp;P with New retention and Differentiation.xlsx]'Coastal N Reductions'!BE53", 487.180175182482)</f>
        <v>487.180175182482</v>
      </c>
      <c r="AT205" s="41">
        <f>AR205-AQ205</f>
        <v>419.11600000000004</v>
      </c>
      <c r="AU205" s="41">
        <f>AS205-AQ205</f>
        <v>352.36017518248201</v>
      </c>
      <c r="AV205" s="13"/>
      <c r="AW205" s="13"/>
      <c r="AX205" s="43">
        <f>HYPERLINK("[N&amp;P with New retention and Differentiation.xlsx]'Coastal N Reductions'!BC53", 6.64)</f>
        <v>6.64</v>
      </c>
      <c r="AY205" s="13"/>
      <c r="AZ205" s="41">
        <f>AX205-AV205</f>
        <v>6.64</v>
      </c>
      <c r="BA205" s="43">
        <f>HYPERLINK("[N&amp;P Old retention.xlsx]'Coastal N Reductions'!BP53", 31.216)</f>
        <v>31.216000000000001</v>
      </c>
      <c r="BB205" s="43">
        <f>HYPERLINK("[N&amp;P New retention.xlsx]'Coastal N Reductions'!BP53", 17.266)</f>
        <v>17.265999999999998</v>
      </c>
      <c r="BC205" s="43">
        <f>HYPERLINK("[N&amp;P with New retention and Differentiation.xlsx]'Coastal N Reductions'!BP53", 22.69)</f>
        <v>22.69</v>
      </c>
      <c r="BD205" s="42">
        <f>BB205-BA205</f>
        <v>-13.950000000000003</v>
      </c>
      <c r="BE205" s="42">
        <f>BC205-BA205</f>
        <v>-8.5259999999999998</v>
      </c>
      <c r="BF205" s="13"/>
      <c r="BG205" s="28">
        <f>HYPERLINK("[N&amp;P New retention.xlsx]'Coastal N Reductions'!BT53", 1)</f>
        <v>1</v>
      </c>
      <c r="BH205" s="28">
        <f>HYPERLINK("[N&amp;P with New retention and Differentiation.xlsx]'Coastal N Reductions'!BT53", 1)</f>
        <v>1</v>
      </c>
      <c r="BI205" s="16">
        <f>BG205-BF205</f>
        <v>1</v>
      </c>
      <c r="BJ205" s="16">
        <f>BH205-BF205</f>
        <v>1</v>
      </c>
    </row>
    <row r="206" spans="1:62" x14ac:dyDescent="0.55000000000000004">
      <c r="A206" s="30">
        <v>205</v>
      </c>
      <c r="B206" s="6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</row>
    <row r="207" spans="1:62" x14ac:dyDescent="0.55000000000000004">
      <c r="A207" s="31">
        <v>206</v>
      </c>
      <c r="B207" s="5" t="s">
        <v>242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</row>
    <row r="208" spans="1:62" x14ac:dyDescent="0.55000000000000004">
      <c r="A208" s="30">
        <v>207</v>
      </c>
      <c r="B208" s="6" t="s">
        <v>243</v>
      </c>
      <c r="C208" s="40">
        <f>HYPERLINK("[N&amp;P Old retention.xlsx]'Coastal N Reductions'!BD56", 19.64)</f>
        <v>19.64</v>
      </c>
      <c r="D208" s="40">
        <f>HYPERLINK("[N&amp;P New retention.xlsx]'Coastal N Reductions'!BD56", 106.26)</f>
        <v>106.26</v>
      </c>
      <c r="E208" s="40">
        <f>HYPERLINK("[N&amp;P with New retention and Differentiation.xlsx]'Coastal N Reductions'!BD56", 106.26)</f>
        <v>106.26</v>
      </c>
      <c r="F208" s="41">
        <f>D208-C208</f>
        <v>86.62</v>
      </c>
      <c r="G208" s="41">
        <f>E208-C208</f>
        <v>86.62</v>
      </c>
      <c r="H208" s="40">
        <f>HYPERLINK("[N&amp;P Old retention.xlsx]'Coastal N Reductions'!AV56", 493.396)</f>
        <v>493.39600000000002</v>
      </c>
      <c r="I208" s="40">
        <f>HYPERLINK("[N&amp;P New retention.xlsx]'Coastal N Reductions'!AV56", 681.32)</f>
        <v>681.32</v>
      </c>
      <c r="J208" s="40">
        <f>HYPERLINK("[N&amp;P with New retention and Differentiation.xlsx]'Coastal N Reductions'!AV56", 681.32)</f>
        <v>681.32</v>
      </c>
      <c r="K208" s="41">
        <f>I208-H208</f>
        <v>187.92400000000004</v>
      </c>
      <c r="L208" s="41">
        <f>J208-H208</f>
        <v>187.92400000000004</v>
      </c>
      <c r="M208" s="40">
        <f>HYPERLINK("[N&amp;P Old retention.xlsx]'Coastal N Reductions'!AX56", 610.2)</f>
        <v>610.20000000000005</v>
      </c>
      <c r="N208" s="40">
        <f>HYPERLINK("[N&amp;P New retention.xlsx]'Coastal N Reductions'!AX56", 535.018)</f>
        <v>535.01800000000003</v>
      </c>
      <c r="O208" s="40">
        <f>HYPERLINK("[N&amp;P with New retention and Differentiation.xlsx]'Coastal N Reductions'!AX56", 537.328)</f>
        <v>537.32799999999997</v>
      </c>
      <c r="P208" s="42">
        <f>N208-M208</f>
        <v>-75.182000000000016</v>
      </c>
      <c r="Q208" s="42">
        <f>O208-M208</f>
        <v>-72.872000000000071</v>
      </c>
      <c r="R208" s="18"/>
      <c r="S208" s="18"/>
      <c r="T208" s="18"/>
      <c r="U208" s="18"/>
      <c r="V208" s="18"/>
      <c r="W208" s="40">
        <f>HYPERLINK("[N&amp;P Old retention.xlsx]'Coastal N Reductions'!BI56", 571.244)</f>
        <v>571.24400000000003</v>
      </c>
      <c r="X208" s="40">
        <f>HYPERLINK("[N&amp;P New retention.xlsx]'Coastal N Reductions'!BI56", 580.254)</f>
        <v>580.25400000000002</v>
      </c>
      <c r="Y208" s="40">
        <f>HYPERLINK("[N&amp;P with New retention and Differentiation.xlsx]'Coastal N Reductions'!BI56", 580.254)</f>
        <v>580.25400000000002</v>
      </c>
      <c r="Z208" s="41">
        <f>X208-W208</f>
        <v>9.0099999999999909</v>
      </c>
      <c r="AA208" s="41">
        <f>Y208-W208</f>
        <v>9.0099999999999909</v>
      </c>
      <c r="AB208" s="18"/>
      <c r="AC208" s="18"/>
      <c r="AD208" s="18"/>
      <c r="AE208" s="18"/>
      <c r="AF208" s="18"/>
      <c r="AG208" s="40">
        <f>HYPERLINK("[N&amp;P Old retention.xlsx]'Coastal N Reductions'!BH56", 13.956)</f>
        <v>13.956</v>
      </c>
      <c r="AH208" s="40">
        <f>HYPERLINK("[N&amp;P New retention.xlsx]'Coastal N Reductions'!BH56", 4.246)</f>
        <v>4.2460000000000004</v>
      </c>
      <c r="AI208" s="40">
        <f>HYPERLINK("[N&amp;P with New retention and Differentiation.xlsx]'Coastal N Reductions'!BH56", 4.246)</f>
        <v>4.2460000000000004</v>
      </c>
      <c r="AJ208" s="42">
        <f>AH208-AG208</f>
        <v>-9.7099999999999991</v>
      </c>
      <c r="AK208" s="42">
        <f>AI208-AG208</f>
        <v>-9.7099999999999991</v>
      </c>
      <c r="AL208" s="40">
        <f>HYPERLINK("[N&amp;P Old retention.xlsx]'Coastal N Reductions'!AZ56", 210.2598)</f>
        <v>210.25980000000001</v>
      </c>
      <c r="AM208" s="40">
        <f>HYPERLINK("[N&amp;P New retention.xlsx]'Coastal N Reductions'!AZ56", 249.2358)</f>
        <v>249.23580000000001</v>
      </c>
      <c r="AN208" s="40">
        <f>HYPERLINK("[N&amp;P with New retention and Differentiation.xlsx]'Coastal N Reductions'!AZ56", 249.2358)</f>
        <v>249.23580000000001</v>
      </c>
      <c r="AO208" s="41">
        <f>AM208-AL208</f>
        <v>38.975999999999999</v>
      </c>
      <c r="AP208" s="41">
        <f>AN208-AL208</f>
        <v>38.975999999999999</v>
      </c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</row>
    <row r="209" spans="1:62" x14ac:dyDescent="0.55000000000000004">
      <c r="A209" s="31">
        <v>208</v>
      </c>
      <c r="B209" s="5" t="s">
        <v>244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</row>
    <row r="210" spans="1:62" x14ac:dyDescent="0.55000000000000004">
      <c r="A210" s="30">
        <v>209</v>
      </c>
      <c r="B210" s="6" t="s">
        <v>245</v>
      </c>
      <c r="C210" s="40">
        <f>HYPERLINK("[N&amp;P Old retention.xlsx]'Coastal N Reductions'!BD58", 2199.704)</f>
        <v>2199.7040000000002</v>
      </c>
      <c r="D210" s="40">
        <f>HYPERLINK("[N&amp;P New retention.xlsx]'Coastal N Reductions'!BD58", 2477.398)</f>
        <v>2477.3980000000001</v>
      </c>
      <c r="E210" s="40">
        <f>HYPERLINK("[N&amp;P with New retention and Differentiation.xlsx]'Coastal N Reductions'!BD58", 2083.908)</f>
        <v>2083.9079999999999</v>
      </c>
      <c r="F210" s="41">
        <f>D210-C210</f>
        <v>277.69399999999996</v>
      </c>
      <c r="G210" s="42">
        <f>E210-C210</f>
        <v>-115.79600000000028</v>
      </c>
      <c r="H210" s="40">
        <f>HYPERLINK("[N&amp;P Old retention.xlsx]'Coastal N Reductions'!AV58", 1481.76)</f>
        <v>1481.76</v>
      </c>
      <c r="I210" s="40">
        <f>HYPERLINK("[N&amp;P New retention.xlsx]'Coastal N Reductions'!AV58", 1321.604)</f>
        <v>1321.604</v>
      </c>
      <c r="J210" s="40">
        <f>HYPERLINK("[N&amp;P with New retention and Differentiation.xlsx]'Coastal N Reductions'!AV58", 1317.478)</f>
        <v>1317.4780000000001</v>
      </c>
      <c r="K210" s="42">
        <f>I210-H210</f>
        <v>-160.15599999999995</v>
      </c>
      <c r="L210" s="42">
        <f>J210-H210</f>
        <v>-164.28199999999993</v>
      </c>
      <c r="M210" s="40">
        <f>HYPERLINK("[N&amp;P Old retention.xlsx]'Coastal N Reductions'!AX58", 7763.588)</f>
        <v>7763.5879999999997</v>
      </c>
      <c r="N210" s="40">
        <f>HYPERLINK("[N&amp;P New retention.xlsx]'Coastal N Reductions'!AX58", 8719.016)</f>
        <v>8719.0159999999996</v>
      </c>
      <c r="O210" s="40">
        <f>HYPERLINK("[N&amp;P with New retention and Differentiation.xlsx]'Coastal N Reductions'!AX58", 8566.456)</f>
        <v>8566.4560000000001</v>
      </c>
      <c r="P210" s="41">
        <f>N210-M210</f>
        <v>955.42799999999988</v>
      </c>
      <c r="Q210" s="41">
        <f>O210-M210</f>
        <v>802.86800000000039</v>
      </c>
      <c r="R210" s="40">
        <f>HYPERLINK("[N&amp;P Old retention.xlsx]'Coastal N Reductions'!BF58", 215.916)</f>
        <v>215.916</v>
      </c>
      <c r="S210" s="40">
        <f>HYPERLINK("[N&amp;P New retention.xlsx]'Coastal N Reductions'!BF58", 295.18)</f>
        <v>295.18</v>
      </c>
      <c r="T210" s="40">
        <f>HYPERLINK("[N&amp;P with New retention and Differentiation.xlsx]'Coastal N Reductions'!BF58", 758.08)</f>
        <v>758.08</v>
      </c>
      <c r="U210" s="41">
        <f>S210-R210</f>
        <v>79.26400000000001</v>
      </c>
      <c r="V210" s="41">
        <f>T210-R210</f>
        <v>542.16399999999999</v>
      </c>
      <c r="W210" s="40">
        <f>HYPERLINK("[N&amp;P Old retention.xlsx]'Coastal N Reductions'!BI58", 150.48)</f>
        <v>150.47999999999999</v>
      </c>
      <c r="X210" s="40">
        <f>HYPERLINK("[N&amp;P New retention.xlsx]'Coastal N Reductions'!BI58", 159.89)</f>
        <v>159.88999999999999</v>
      </c>
      <c r="Y210" s="40">
        <f>HYPERLINK("[N&amp;P with New retention and Differentiation.xlsx]'Coastal N Reductions'!BI58", 160.02)</f>
        <v>160.02000000000001</v>
      </c>
      <c r="Z210" s="41">
        <f>X210-W210</f>
        <v>9.4099999999999966</v>
      </c>
      <c r="AA210" s="41">
        <f>Y210-W210</f>
        <v>9.5400000000000205</v>
      </c>
      <c r="AB210" s="26">
        <f>HYPERLINK("[N&amp;P Old retention.xlsx]'Coastal N Reductions'!BS58", 10900)</f>
        <v>10900</v>
      </c>
      <c r="AC210" s="26">
        <f>HYPERLINK("[N&amp;P New retention.xlsx]'Coastal N Reductions'!BS58", 12250)</f>
        <v>12250</v>
      </c>
      <c r="AD210" s="26">
        <f>HYPERLINK("[N&amp;P with New retention and Differentiation.xlsx]'Coastal N Reductions'!BS58", 12250)</f>
        <v>12250</v>
      </c>
      <c r="AE210" s="16">
        <f>AC210-AB210</f>
        <v>1350</v>
      </c>
      <c r="AF210" s="16">
        <f>AD210-AB210</f>
        <v>1350</v>
      </c>
      <c r="AG210" s="40">
        <f>HYPERLINK("[N&amp;P Old retention.xlsx]'Coastal N Reductions'!BH58", 54.446)</f>
        <v>54.445999999999998</v>
      </c>
      <c r="AH210" s="40">
        <f>HYPERLINK("[N&amp;P New retention.xlsx]'Coastal N Reductions'!BH58", 105.246)</f>
        <v>105.246</v>
      </c>
      <c r="AI210" s="40">
        <f>HYPERLINK("[N&amp;P with New retention and Differentiation.xlsx]'Coastal N Reductions'!BH58", 106.036)</f>
        <v>106.036</v>
      </c>
      <c r="AJ210" s="41">
        <f>AH210-AG210</f>
        <v>50.8</v>
      </c>
      <c r="AK210" s="41">
        <f>AI210-AG210</f>
        <v>51.59</v>
      </c>
      <c r="AL210" s="40">
        <f>HYPERLINK("[N&amp;P Old retention.xlsx]'Coastal N Reductions'!AZ58", 48.5166)</f>
        <v>48.516599999999997</v>
      </c>
      <c r="AM210" s="40">
        <f>HYPERLINK("[N&amp;P New retention.xlsx]'Coastal N Reductions'!AZ58", 45.7164)</f>
        <v>45.7164</v>
      </c>
      <c r="AN210" s="40">
        <f>HYPERLINK("[N&amp;P with New retention and Differentiation.xlsx]'Coastal N Reductions'!AZ58", 45.7164)</f>
        <v>45.7164</v>
      </c>
      <c r="AO210" s="42">
        <f>AM210-AL210</f>
        <v>-2.8001999999999967</v>
      </c>
      <c r="AP210" s="42">
        <f>AN210-AL210</f>
        <v>-2.8001999999999967</v>
      </c>
      <c r="AQ210" s="40">
        <f>HYPERLINK("[N&amp;P Old retention.xlsx]'Coastal N Reductions'!BE58", 101.756)</f>
        <v>101.756</v>
      </c>
      <c r="AR210" s="40">
        <f>HYPERLINK("[N&amp;P New retention.xlsx]'Coastal N Reductions'!BE58", 121.386)</f>
        <v>121.386</v>
      </c>
      <c r="AS210" s="40">
        <f>HYPERLINK("[N&amp;P with New retention and Differentiation.xlsx]'Coastal N Reductions'!BE58", 139.358)</f>
        <v>139.358</v>
      </c>
      <c r="AT210" s="41">
        <f>AR210-AQ210</f>
        <v>19.629999999999995</v>
      </c>
      <c r="AU210" s="41">
        <f>AS210-AQ210</f>
        <v>37.602000000000004</v>
      </c>
      <c r="AV210" s="18"/>
      <c r="AW210" s="18"/>
      <c r="AX210" s="18"/>
      <c r="AY210" s="18"/>
      <c r="AZ210" s="18"/>
      <c r="BA210" s="18"/>
      <c r="BB210" s="40">
        <f>HYPERLINK("[N&amp;P New retention.xlsx]'Coastal N Reductions'!BP58", 0.228)</f>
        <v>0.22800000000000001</v>
      </c>
      <c r="BC210" s="18"/>
      <c r="BD210" s="41">
        <f>BB210-BA210</f>
        <v>0.22800000000000001</v>
      </c>
      <c r="BE210" s="18"/>
      <c r="BF210" s="18"/>
      <c r="BG210" s="18"/>
      <c r="BH210" s="18"/>
      <c r="BI210" s="18"/>
      <c r="BJ210" s="18"/>
    </row>
    <row r="211" spans="1:62" x14ac:dyDescent="0.55000000000000004">
      <c r="A211" s="31">
        <v>212</v>
      </c>
      <c r="B211" s="5" t="s">
        <v>246</v>
      </c>
      <c r="C211" s="43">
        <f>HYPERLINK("[N&amp;P Old retention.xlsx]'Coastal N Reductions'!BD59", 412.39)</f>
        <v>412.39</v>
      </c>
      <c r="D211" s="43">
        <f>HYPERLINK("[N&amp;P New retention.xlsx]'Coastal N Reductions'!BD59", 390.238)</f>
        <v>390.238</v>
      </c>
      <c r="E211" s="43">
        <f>HYPERLINK("[N&amp;P with New retention and Differentiation.xlsx]'Coastal N Reductions'!BD59", 390.238)</f>
        <v>390.238</v>
      </c>
      <c r="F211" s="42">
        <f>D211-C211</f>
        <v>-22.151999999999987</v>
      </c>
      <c r="G211" s="42">
        <f>E211-C211</f>
        <v>-22.151999999999987</v>
      </c>
      <c r="H211" s="43">
        <f>HYPERLINK("[N&amp;P Old retention.xlsx]'Coastal N Reductions'!AV59", 71.086)</f>
        <v>71.085999999999999</v>
      </c>
      <c r="I211" s="43">
        <f>HYPERLINK("[N&amp;P New retention.xlsx]'Coastal N Reductions'!AV59", 87.928)</f>
        <v>87.927999999999997</v>
      </c>
      <c r="J211" s="43">
        <f>HYPERLINK("[N&amp;P with New retention and Differentiation.xlsx]'Coastal N Reductions'!AV59", 87.928)</f>
        <v>87.927999999999997</v>
      </c>
      <c r="K211" s="41">
        <f>I211-H211</f>
        <v>16.841999999999999</v>
      </c>
      <c r="L211" s="41">
        <f>J211-H211</f>
        <v>16.841999999999999</v>
      </c>
      <c r="M211" s="43">
        <f>HYPERLINK("[N&amp;P Old retention.xlsx]'Coastal N Reductions'!AX59", 26.446)</f>
        <v>26.446000000000002</v>
      </c>
      <c r="N211" s="43">
        <f>HYPERLINK("[N&amp;P New retention.xlsx]'Coastal N Reductions'!AX59", 44.184)</f>
        <v>44.183999999999997</v>
      </c>
      <c r="O211" s="43">
        <f>HYPERLINK("[N&amp;P with New retention and Differentiation.xlsx]'Coastal N Reductions'!AX59", 44.184)</f>
        <v>44.183999999999997</v>
      </c>
      <c r="P211" s="41">
        <f>N211-M211</f>
        <v>17.737999999999996</v>
      </c>
      <c r="Q211" s="41">
        <f>O211-M211</f>
        <v>17.737999999999996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28">
        <f>HYPERLINK("[N&amp;P Old retention.xlsx]'Coastal N Reductions'!BS59", 100)</f>
        <v>100</v>
      </c>
      <c r="AC211" s="13"/>
      <c r="AD211" s="13"/>
      <c r="AE211" s="21">
        <f>AC211-AB211</f>
        <v>-100</v>
      </c>
      <c r="AF211" s="21">
        <f>AD211-AB211</f>
        <v>-100</v>
      </c>
      <c r="AG211" s="43">
        <f>HYPERLINK("[N&amp;P Old retention.xlsx]'Coastal N Reductions'!BH59", 7.34)</f>
        <v>7.34</v>
      </c>
      <c r="AH211" s="43">
        <f>HYPERLINK("[N&amp;P New retention.xlsx]'Coastal N Reductions'!BH59", 5.626)</f>
        <v>5.6260000000000003</v>
      </c>
      <c r="AI211" s="43">
        <f>HYPERLINK("[N&amp;P with New retention and Differentiation.xlsx]'Coastal N Reductions'!BH59", 5.626)</f>
        <v>5.6260000000000003</v>
      </c>
      <c r="AJ211" s="42">
        <f>AH211-AG211</f>
        <v>-1.7139999999999995</v>
      </c>
      <c r="AK211" s="42">
        <f>AI211-AG211</f>
        <v>-1.7139999999999995</v>
      </c>
      <c r="AL211" s="43">
        <f>HYPERLINK("[N&amp;P Old retention.xlsx]'Coastal N Reductions'!AZ59", 13.6656)</f>
        <v>13.6656</v>
      </c>
      <c r="AM211" s="43">
        <f>HYPERLINK("[N&amp;P New retention.xlsx]'Coastal N Reductions'!AZ59", 15.6498)</f>
        <v>15.649800000000001</v>
      </c>
      <c r="AN211" s="43">
        <f>HYPERLINK("[N&amp;P with New retention and Differentiation.xlsx]'Coastal N Reductions'!AZ59", 15.6498)</f>
        <v>15.649800000000001</v>
      </c>
      <c r="AO211" s="41">
        <f>AM211-AL211</f>
        <v>1.9842000000000013</v>
      </c>
      <c r="AP211" s="41">
        <f>AN211-AL211</f>
        <v>1.9842000000000013</v>
      </c>
      <c r="AQ211" s="43">
        <f>HYPERLINK("[N&amp;P Old retention.xlsx]'Coastal N Reductions'!BE59", 0.426)</f>
        <v>0.42599999999999999</v>
      </c>
      <c r="AR211" s="43">
        <f>HYPERLINK("[N&amp;P New retention.xlsx]'Coastal N Reductions'!BE59", 0.12)</f>
        <v>0.12</v>
      </c>
      <c r="AS211" s="43">
        <f>HYPERLINK("[N&amp;P with New retention and Differentiation.xlsx]'Coastal N Reductions'!BE59", 0.12)</f>
        <v>0.12</v>
      </c>
      <c r="AT211" s="42">
        <f>AR211-AQ211</f>
        <v>-0.30599999999999999</v>
      </c>
      <c r="AU211" s="42">
        <f>AS211-AQ211</f>
        <v>-0.30599999999999999</v>
      </c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</row>
    <row r="212" spans="1:62" x14ac:dyDescent="0.55000000000000004">
      <c r="A212" s="30">
        <v>214</v>
      </c>
      <c r="B212" s="6" t="s">
        <v>247</v>
      </c>
      <c r="C212" s="40">
        <f>HYPERLINK("[N&amp;P Old retention.xlsx]'Coastal N Reductions'!BD60", 4791.324)</f>
        <v>4791.3239999999996</v>
      </c>
      <c r="D212" s="40">
        <f>HYPERLINK("[N&amp;P New retention.xlsx]'Coastal N Reductions'!BD60", 4474.79)</f>
        <v>4474.79</v>
      </c>
      <c r="E212" s="40">
        <f>HYPERLINK("[N&amp;P with New retention and Differentiation.xlsx]'Coastal N Reductions'!BD60", 4458.99)</f>
        <v>4458.99</v>
      </c>
      <c r="F212" s="42">
        <f>D212-C212</f>
        <v>-316.53399999999965</v>
      </c>
      <c r="G212" s="42">
        <f>E212-C212</f>
        <v>-332.33399999999983</v>
      </c>
      <c r="H212" s="40">
        <f>HYPERLINK("[N&amp;P Old retention.xlsx]'Coastal N Reductions'!AV60", 1089.662)</f>
        <v>1089.662</v>
      </c>
      <c r="I212" s="40">
        <f>HYPERLINK("[N&amp;P New retention.xlsx]'Coastal N Reductions'!AV60", 1114.126)</f>
        <v>1114.126</v>
      </c>
      <c r="J212" s="40">
        <f>HYPERLINK("[N&amp;P with New retention and Differentiation.xlsx]'Coastal N Reductions'!AV60", 1113.21799999981)</f>
        <v>1113.21799999981</v>
      </c>
      <c r="K212" s="41">
        <f>I212-H212</f>
        <v>24.463999999999942</v>
      </c>
      <c r="L212" s="41">
        <f>J212-H212</f>
        <v>23.555999999809956</v>
      </c>
      <c r="M212" s="40">
        <f>HYPERLINK("[N&amp;P Old retention.xlsx]'Coastal N Reductions'!AX60", 2339.824)</f>
        <v>2339.8240000000001</v>
      </c>
      <c r="N212" s="40">
        <f>HYPERLINK("[N&amp;P New retention.xlsx]'Coastal N Reductions'!AX60", 2702.376)</f>
        <v>2702.3760000000002</v>
      </c>
      <c r="O212" s="40">
        <f>HYPERLINK("[N&amp;P with New retention and Differentiation.xlsx]'Coastal N Reductions'!AX60", 2697.868)</f>
        <v>2697.8679999999999</v>
      </c>
      <c r="P212" s="41">
        <f>N212-M212</f>
        <v>362.55200000000013</v>
      </c>
      <c r="Q212" s="41">
        <f>O212-M212</f>
        <v>358.04399999999987</v>
      </c>
      <c r="R212" s="40">
        <f>HYPERLINK("[N&amp;P Old retention.xlsx]'Coastal N Reductions'!BF60", 43.776)</f>
        <v>43.776000000000003</v>
      </c>
      <c r="S212" s="40">
        <f>HYPERLINK("[N&amp;P New retention.xlsx]'Coastal N Reductions'!BF60", 43.146)</f>
        <v>43.146000000000001</v>
      </c>
      <c r="T212" s="40">
        <f>HYPERLINK("[N&amp;P with New retention and Differentiation.xlsx]'Coastal N Reductions'!BF60", 49.576)</f>
        <v>49.576000000000001</v>
      </c>
      <c r="U212" s="42">
        <f>S212-R212</f>
        <v>-0.63000000000000256</v>
      </c>
      <c r="V212" s="41">
        <f>T212-R212</f>
        <v>5.7999999999999972</v>
      </c>
      <c r="W212" s="40">
        <f>HYPERLINK("[N&amp;P Old retention.xlsx]'Coastal N Reductions'!BI60", 50.328)</f>
        <v>50.328000000000003</v>
      </c>
      <c r="X212" s="40">
        <f>HYPERLINK("[N&amp;P New retention.xlsx]'Coastal N Reductions'!BI60", 49.824)</f>
        <v>49.823999999999998</v>
      </c>
      <c r="Y212" s="40">
        <f>HYPERLINK("[N&amp;P with New retention and Differentiation.xlsx]'Coastal N Reductions'!BI60", 49.824)</f>
        <v>49.823999999999998</v>
      </c>
      <c r="Z212" s="42">
        <f>X212-W212</f>
        <v>-0.50400000000000489</v>
      </c>
      <c r="AA212" s="42">
        <f>Y212-W212</f>
        <v>-0.50400000000000489</v>
      </c>
      <c r="AB212" s="26">
        <f>HYPERLINK("[N&amp;P Old retention.xlsx]'Coastal N Reductions'!BS60", 2469.99999999989)</f>
        <v>2469.99999999989</v>
      </c>
      <c r="AC212" s="26">
        <f>HYPERLINK("[N&amp;P New retention.xlsx]'Coastal N Reductions'!BS60", 2969.99999999989)</f>
        <v>2969.99999999989</v>
      </c>
      <c r="AD212" s="26">
        <f>HYPERLINK("[N&amp;P with New retention and Differentiation.xlsx]'Coastal N Reductions'!BS60", 2969.99999999989)</f>
        <v>2969.99999999989</v>
      </c>
      <c r="AE212" s="16">
        <f>AC212-AB212</f>
        <v>500</v>
      </c>
      <c r="AF212" s="16">
        <f>AD212-AB212</f>
        <v>500</v>
      </c>
      <c r="AG212" s="40">
        <f>HYPERLINK("[N&amp;P Old retention.xlsx]'Coastal N Reductions'!BH60", 62.616)</f>
        <v>62.616</v>
      </c>
      <c r="AH212" s="40">
        <f>HYPERLINK("[N&amp;P New retention.xlsx]'Coastal N Reductions'!BH60", 79.958)</f>
        <v>79.957999999999998</v>
      </c>
      <c r="AI212" s="40">
        <f>HYPERLINK("[N&amp;P with New retention and Differentiation.xlsx]'Coastal N Reductions'!BH60", 79.988)</f>
        <v>79.988</v>
      </c>
      <c r="AJ212" s="41">
        <f>AH212-AG212</f>
        <v>17.341999999999999</v>
      </c>
      <c r="AK212" s="41">
        <f>AI212-AG212</f>
        <v>17.372</v>
      </c>
      <c r="AL212" s="40">
        <f>HYPERLINK("[N&amp;P Old retention.xlsx]'Coastal N Reductions'!AZ60", 655.4082)</f>
        <v>655.40819999999997</v>
      </c>
      <c r="AM212" s="40">
        <f>HYPERLINK("[N&amp;P New retention.xlsx]'Coastal N Reductions'!AZ60", 563.2662)</f>
        <v>563.26620000000003</v>
      </c>
      <c r="AN212" s="40">
        <f>HYPERLINK("[N&amp;P with New retention and Differentiation.xlsx]'Coastal N Reductions'!AZ60", 564.45)</f>
        <v>564.45000000000005</v>
      </c>
      <c r="AO212" s="42">
        <f>AM212-AL212</f>
        <v>-92.141999999999939</v>
      </c>
      <c r="AP212" s="42">
        <f>AN212-AL212</f>
        <v>-90.95819999999992</v>
      </c>
      <c r="AQ212" s="40">
        <f>HYPERLINK("[N&amp;P Old retention.xlsx]'Coastal N Reductions'!BE60", 83.414)</f>
        <v>83.414000000000001</v>
      </c>
      <c r="AR212" s="40">
        <f>HYPERLINK("[N&amp;P New retention.xlsx]'Coastal N Reductions'!BE60", 73.232)</f>
        <v>73.231999999999999</v>
      </c>
      <c r="AS212" s="40">
        <f>HYPERLINK("[N&amp;P with New retention and Differentiation.xlsx]'Coastal N Reductions'!BE60", 66.862)</f>
        <v>66.861999999999995</v>
      </c>
      <c r="AT212" s="42">
        <f>AR212-AQ212</f>
        <v>-10.182000000000002</v>
      </c>
      <c r="AU212" s="42">
        <f>AS212-AQ212</f>
        <v>-16.552000000000007</v>
      </c>
      <c r="AV212" s="40">
        <f>HYPERLINK("[N&amp;P Old retention.xlsx]'Coastal N Reductions'!BC60", 9.68)</f>
        <v>9.68</v>
      </c>
      <c r="AW212" s="40">
        <f>HYPERLINK("[N&amp;P New retention.xlsx]'Coastal N Reductions'!BC60", 7.12)</f>
        <v>7.12</v>
      </c>
      <c r="AX212" s="40">
        <f>HYPERLINK("[N&amp;P with New retention and Differentiation.xlsx]'Coastal N Reductions'!BC60", 22.55)</f>
        <v>22.55</v>
      </c>
      <c r="AY212" s="42">
        <f>AW212-AV212</f>
        <v>-2.5599999999999996</v>
      </c>
      <c r="AZ212" s="41">
        <f>AX212-AV212</f>
        <v>12.870000000000001</v>
      </c>
      <c r="BA212" s="40">
        <f>HYPERLINK("[N&amp;P Old retention.xlsx]'Coastal N Reductions'!BP60", 116.122)</f>
        <v>116.122</v>
      </c>
      <c r="BB212" s="40">
        <f>HYPERLINK("[N&amp;P New retention.xlsx]'Coastal N Reductions'!BP60", 272.922)</f>
        <v>272.92200000000003</v>
      </c>
      <c r="BC212" s="40">
        <f>HYPERLINK("[N&amp;P with New retention and Differentiation.xlsx]'Coastal N Reductions'!BP60", 292.02)</f>
        <v>292.02</v>
      </c>
      <c r="BD212" s="41">
        <f>BB212-BA212</f>
        <v>156.80000000000001</v>
      </c>
      <c r="BE212" s="41">
        <f>BC212-BA212</f>
        <v>175.89799999999997</v>
      </c>
      <c r="BF212" s="18"/>
      <c r="BG212" s="18"/>
      <c r="BH212" s="18"/>
      <c r="BI212" s="18"/>
      <c r="BJ212" s="18"/>
    </row>
    <row r="213" spans="1:62" x14ac:dyDescent="0.55000000000000004">
      <c r="A213" s="31">
        <v>216</v>
      </c>
      <c r="B213" s="5" t="s">
        <v>248</v>
      </c>
      <c r="C213" s="43">
        <f>HYPERLINK("[N&amp;P Old retention.xlsx]'Coastal N Reductions'!BD61", 27.66)</f>
        <v>27.66</v>
      </c>
      <c r="D213" s="43">
        <f>HYPERLINK("[N&amp;P New retention.xlsx]'Coastal N Reductions'!BD61", 27.66)</f>
        <v>27.66</v>
      </c>
      <c r="E213" s="43">
        <f>HYPERLINK("[N&amp;P with New retention and Differentiation.xlsx]'Coastal N Reductions'!BD61", 27.66)</f>
        <v>27.66</v>
      </c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43">
        <f>HYPERLINK("[N&amp;P Old retention.xlsx]'Coastal N Reductions'!BF61", 819.206)</f>
        <v>819.20600000000002</v>
      </c>
      <c r="S213" s="43">
        <f>HYPERLINK("[N&amp;P New retention.xlsx]'Coastal N Reductions'!BF61", 819.206)</f>
        <v>819.20600000000002</v>
      </c>
      <c r="T213" s="43">
        <f>HYPERLINK("[N&amp;P with New retention and Differentiation.xlsx]'Coastal N Reductions'!BF61", 819.206)</f>
        <v>819.20600000000002</v>
      </c>
      <c r="U213" s="13"/>
      <c r="V213" s="13"/>
      <c r="W213" s="13"/>
      <c r="X213" s="13"/>
      <c r="Y213" s="13"/>
      <c r="Z213" s="13"/>
      <c r="AA213" s="13"/>
      <c r="AB213" s="28">
        <f>HYPERLINK("[N&amp;P Old retention.xlsx]'Coastal N Reductions'!BS61", 710)</f>
        <v>710</v>
      </c>
      <c r="AC213" s="28">
        <f>HYPERLINK("[N&amp;P New retention.xlsx]'Coastal N Reductions'!BS61", 710)</f>
        <v>710</v>
      </c>
      <c r="AD213" s="28">
        <f>HYPERLINK("[N&amp;P with New retention and Differentiation.xlsx]'Coastal N Reductions'!BS61", 710)</f>
        <v>710</v>
      </c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43">
        <f>HYPERLINK("[N&amp;P Old retention.xlsx]'Coastal N Reductions'!BP61", 8.27)</f>
        <v>8.27</v>
      </c>
      <c r="BB213" s="43">
        <f>HYPERLINK("[N&amp;P New retention.xlsx]'Coastal N Reductions'!BP61", 10.95)</f>
        <v>10.95</v>
      </c>
      <c r="BC213" s="43">
        <f>HYPERLINK("[N&amp;P with New retention and Differentiation.xlsx]'Coastal N Reductions'!BP61", 16.62)</f>
        <v>16.62</v>
      </c>
      <c r="BD213" s="41">
        <f>BB213-BA213</f>
        <v>2.6799999999999997</v>
      </c>
      <c r="BE213" s="41">
        <f>BC213-BA213</f>
        <v>8.3500000000000014</v>
      </c>
      <c r="BF213" s="13"/>
      <c r="BG213" s="13"/>
      <c r="BH213" s="13"/>
      <c r="BI213" s="13"/>
      <c r="BJ213" s="13"/>
    </row>
    <row r="214" spans="1:62" x14ac:dyDescent="0.55000000000000004">
      <c r="A214" s="30">
        <v>217</v>
      </c>
      <c r="B214" s="6" t="s">
        <v>249</v>
      </c>
      <c r="C214" s="40">
        <f>HYPERLINK("[N&amp;P Old retention.xlsx]'Coastal N Reductions'!BD62", 1803.882)</f>
        <v>1803.8820000000001</v>
      </c>
      <c r="D214" s="40">
        <f>HYPERLINK("[N&amp;P New retention.xlsx]'Coastal N Reductions'!BD62", 1682.972)</f>
        <v>1682.972</v>
      </c>
      <c r="E214" s="40">
        <f>HYPERLINK("[N&amp;P with New retention and Differentiation.xlsx]'Coastal N Reductions'!BD62", 1641.522)</f>
        <v>1641.5219999999999</v>
      </c>
      <c r="F214" s="42">
        <f>D214-C214</f>
        <v>-120.91000000000008</v>
      </c>
      <c r="G214" s="42">
        <f>E214-C214</f>
        <v>-162.36000000000013</v>
      </c>
      <c r="H214" s="40">
        <f>HYPERLINK("[N&amp;P Old retention.xlsx]'Coastal N Reductions'!AV62", 708.662)</f>
        <v>708.66200000000003</v>
      </c>
      <c r="I214" s="40">
        <f>HYPERLINK("[N&amp;P New retention.xlsx]'Coastal N Reductions'!AV62", 761.448)</f>
        <v>761.44799999999998</v>
      </c>
      <c r="J214" s="40">
        <f>HYPERLINK("[N&amp;P with New retention and Differentiation.xlsx]'Coastal N Reductions'!AV62", 760.556)</f>
        <v>760.55600000000004</v>
      </c>
      <c r="K214" s="41">
        <f>I214-H214</f>
        <v>52.785999999999945</v>
      </c>
      <c r="L214" s="41">
        <f>J214-H214</f>
        <v>51.894000000000005</v>
      </c>
      <c r="M214" s="40">
        <f>HYPERLINK("[N&amp;P Old retention.xlsx]'Coastal N Reductions'!AX62", 1063.916)</f>
        <v>1063.9159999999999</v>
      </c>
      <c r="N214" s="40">
        <f>HYPERLINK("[N&amp;P New retention.xlsx]'Coastal N Reductions'!AX62", 628.304)</f>
        <v>628.30399999999997</v>
      </c>
      <c r="O214" s="40">
        <f>HYPERLINK("[N&amp;P with New retention and Differentiation.xlsx]'Coastal N Reductions'!AX62", 644.25)</f>
        <v>644.25</v>
      </c>
      <c r="P214" s="42">
        <f>N214-M214</f>
        <v>-435.61199999999997</v>
      </c>
      <c r="Q214" s="42">
        <f>O214-M214</f>
        <v>-419.66599999999994</v>
      </c>
      <c r="R214" s="40">
        <f>HYPERLINK("[N&amp;P Old retention.xlsx]'Coastal N Reductions'!BF62", 112.14)</f>
        <v>112.14</v>
      </c>
      <c r="S214" s="40">
        <f>HYPERLINK("[N&amp;P New retention.xlsx]'Coastal N Reductions'!BF62", 99.842)</f>
        <v>99.841999999999999</v>
      </c>
      <c r="T214" s="40">
        <f>HYPERLINK("[N&amp;P with New retention and Differentiation.xlsx]'Coastal N Reductions'!BF62", 132.702)</f>
        <v>132.702</v>
      </c>
      <c r="U214" s="42">
        <f>S214-R214</f>
        <v>-12.298000000000002</v>
      </c>
      <c r="V214" s="41">
        <f>T214-R214</f>
        <v>20.561999999999998</v>
      </c>
      <c r="W214" s="40">
        <f>HYPERLINK("[N&amp;P Old retention.xlsx]'Coastal N Reductions'!BI62", 73.428)</f>
        <v>73.427999999999997</v>
      </c>
      <c r="X214" s="40">
        <f>HYPERLINK("[N&amp;P New retention.xlsx]'Coastal N Reductions'!BI62", 74.004)</f>
        <v>74.004000000000005</v>
      </c>
      <c r="Y214" s="40">
        <f>HYPERLINK("[N&amp;P with New retention and Differentiation.xlsx]'Coastal N Reductions'!BI62", 73.964)</f>
        <v>73.963999999999999</v>
      </c>
      <c r="Z214" s="41">
        <f>X214-W214</f>
        <v>0.57600000000000762</v>
      </c>
      <c r="AA214" s="41">
        <f>Y214-W214</f>
        <v>0.53600000000000136</v>
      </c>
      <c r="AB214" s="26">
        <f>HYPERLINK("[N&amp;P Old retention.xlsx]'Coastal N Reductions'!BS62", 1850)</f>
        <v>1850</v>
      </c>
      <c r="AC214" s="26">
        <f>HYPERLINK("[N&amp;P New retention.xlsx]'Coastal N Reductions'!BS62", 4650)</f>
        <v>4650</v>
      </c>
      <c r="AD214" s="26">
        <f>HYPERLINK("[N&amp;P with New retention and Differentiation.xlsx]'Coastal N Reductions'!BS62", 4650)</f>
        <v>4650</v>
      </c>
      <c r="AE214" s="16">
        <f>AC214-AB214</f>
        <v>2800</v>
      </c>
      <c r="AF214" s="16">
        <f>AD214-AB214</f>
        <v>2800</v>
      </c>
      <c r="AG214" s="40">
        <f>HYPERLINK("[N&amp;P Old retention.xlsx]'Coastal N Reductions'!BH62", 54.196)</f>
        <v>54.195999999999998</v>
      </c>
      <c r="AH214" s="40">
        <f>HYPERLINK("[N&amp;P New retention.xlsx]'Coastal N Reductions'!BH62", 58.366)</f>
        <v>58.366</v>
      </c>
      <c r="AI214" s="40">
        <f>HYPERLINK("[N&amp;P with New retention and Differentiation.xlsx]'Coastal N Reductions'!BH62", 57.896)</f>
        <v>57.896000000000001</v>
      </c>
      <c r="AJ214" s="41">
        <f>AH214-AG214</f>
        <v>4.1700000000000017</v>
      </c>
      <c r="AK214" s="41">
        <f>AI214-AG214</f>
        <v>3.7000000000000028</v>
      </c>
      <c r="AL214" s="40">
        <f>HYPERLINK("[N&amp;P Old retention.xlsx]'Coastal N Reductions'!AZ62", 526.8558)</f>
        <v>526.85580000000004</v>
      </c>
      <c r="AM214" s="40">
        <f>HYPERLINK("[N&amp;P New retention.xlsx]'Coastal N Reductions'!AZ62", 557.1228)</f>
        <v>557.12279999999998</v>
      </c>
      <c r="AN214" s="40">
        <f>HYPERLINK("[N&amp;P with New retention and Differentiation.xlsx]'Coastal N Reductions'!AZ62", 550.7838)</f>
        <v>550.78380000000004</v>
      </c>
      <c r="AO214" s="41">
        <f>AM214-AL214</f>
        <v>30.266999999999939</v>
      </c>
      <c r="AP214" s="41">
        <f>AN214-AL214</f>
        <v>23.927999999999997</v>
      </c>
      <c r="AQ214" s="40">
        <f>HYPERLINK("[N&amp;P Old retention.xlsx]'Coastal N Reductions'!BE62", 18.068)</f>
        <v>18.068000000000001</v>
      </c>
      <c r="AR214" s="40">
        <f>HYPERLINK("[N&amp;P New retention.xlsx]'Coastal N Reductions'!BE62", 23.578)</f>
        <v>23.577999999999999</v>
      </c>
      <c r="AS214" s="40">
        <f>HYPERLINK("[N&amp;P with New retention and Differentiation.xlsx]'Coastal N Reductions'!BE62", 23.67)</f>
        <v>23.67</v>
      </c>
      <c r="AT214" s="41">
        <f>AR214-AQ214</f>
        <v>5.509999999999998</v>
      </c>
      <c r="AU214" s="41">
        <f>AS214-AQ214</f>
        <v>5.6020000000000003</v>
      </c>
      <c r="AV214" s="18"/>
      <c r="AW214" s="18"/>
      <c r="AX214" s="18"/>
      <c r="AY214" s="18"/>
      <c r="AZ214" s="18"/>
      <c r="BA214" s="40">
        <f>HYPERLINK("[N&amp;P Old retention.xlsx]'Coastal N Reductions'!BP62", 3.146)</f>
        <v>3.1459999999999999</v>
      </c>
      <c r="BB214" s="40">
        <f>HYPERLINK("[N&amp;P New retention.xlsx]'Coastal N Reductions'!BP62", 25.086)</f>
        <v>25.085999999999999</v>
      </c>
      <c r="BC214" s="40">
        <f>HYPERLINK("[N&amp;P with New retention and Differentiation.xlsx]'Coastal N Reductions'!BP62", 4.03)</f>
        <v>4.03</v>
      </c>
      <c r="BD214" s="41">
        <f>BB214-BA214</f>
        <v>21.939999999999998</v>
      </c>
      <c r="BE214" s="41">
        <f>BC214-BA214</f>
        <v>0.88400000000000034</v>
      </c>
      <c r="BF214" s="26">
        <f>HYPERLINK("[N&amp;P Old retention.xlsx]'Coastal N Reductions'!BT62", 1)</f>
        <v>1</v>
      </c>
      <c r="BG214" s="26">
        <f>HYPERLINK("[N&amp;P New retention.xlsx]'Coastal N Reductions'!BT62", 1)</f>
        <v>1</v>
      </c>
      <c r="BH214" s="26">
        <f>HYPERLINK("[N&amp;P with New retention and Differentiation.xlsx]'Coastal N Reductions'!BT62", 1)</f>
        <v>1</v>
      </c>
      <c r="BI214" s="18"/>
      <c r="BJ214" s="18"/>
    </row>
    <row r="215" spans="1:62" x14ac:dyDescent="0.55000000000000004">
      <c r="A215" s="31">
        <v>219</v>
      </c>
      <c r="B215" s="5" t="s">
        <v>250</v>
      </c>
      <c r="C215" s="43">
        <f>HYPERLINK("[N&amp;P Old retention.xlsx]'Coastal N Reductions'!BD63", 444.032)</f>
        <v>444.03199999999998</v>
      </c>
      <c r="D215" s="43">
        <f>HYPERLINK("[N&amp;P New retention.xlsx]'Coastal N Reductions'!BD63", 398.81)</f>
        <v>398.81</v>
      </c>
      <c r="E215" s="43">
        <f>HYPERLINK("[N&amp;P with New retention and Differentiation.xlsx]'Coastal N Reductions'!BD63", 308.106)</f>
        <v>308.10599999999999</v>
      </c>
      <c r="F215" s="42">
        <f>D215-C215</f>
        <v>-45.22199999999998</v>
      </c>
      <c r="G215" s="42">
        <f>E215-C215</f>
        <v>-135.92599999999999</v>
      </c>
      <c r="H215" s="43">
        <f>HYPERLINK("[N&amp;P Old retention.xlsx]'Coastal N Reductions'!AV63", 1126.512)</f>
        <v>1126.5119999999999</v>
      </c>
      <c r="I215" s="43">
        <f>HYPERLINK("[N&amp;P New retention.xlsx]'Coastal N Reductions'!AV63", 1094.398)</f>
        <v>1094.3979999999999</v>
      </c>
      <c r="J215" s="43">
        <f>HYPERLINK("[N&amp;P with New retention and Differentiation.xlsx]'Coastal N Reductions'!AV63", 1082.57)</f>
        <v>1082.57</v>
      </c>
      <c r="K215" s="42">
        <f>I215-H215</f>
        <v>-32.114000000000033</v>
      </c>
      <c r="L215" s="42">
        <f>J215-H215</f>
        <v>-43.942000000000007</v>
      </c>
      <c r="M215" s="43">
        <f>HYPERLINK("[N&amp;P Old retention.xlsx]'Coastal N Reductions'!AX63", 422.61)</f>
        <v>422.61</v>
      </c>
      <c r="N215" s="43">
        <f>HYPERLINK("[N&amp;P New retention.xlsx]'Coastal N Reductions'!AX63", 387.824)</f>
        <v>387.82400000000001</v>
      </c>
      <c r="O215" s="43">
        <f>HYPERLINK("[N&amp;P with New retention and Differentiation.xlsx]'Coastal N Reductions'!AX63", 400.044)</f>
        <v>400.04399999999998</v>
      </c>
      <c r="P215" s="42">
        <f>N215-M215</f>
        <v>-34.786000000000001</v>
      </c>
      <c r="Q215" s="42">
        <f>O215-M215</f>
        <v>-22.566000000000031</v>
      </c>
      <c r="R215" s="43">
        <f>HYPERLINK("[N&amp;P Old retention.xlsx]'Coastal N Reductions'!BF63", 36.244)</f>
        <v>36.244</v>
      </c>
      <c r="S215" s="43">
        <f>HYPERLINK("[N&amp;P New retention.xlsx]'Coastal N Reductions'!BF63", 64.504)</f>
        <v>64.504000000000005</v>
      </c>
      <c r="T215" s="43">
        <f>HYPERLINK("[N&amp;P with New retention and Differentiation.xlsx]'Coastal N Reductions'!BF63", 243.156)</f>
        <v>243.15600000000001</v>
      </c>
      <c r="U215" s="41">
        <f>S215-R215</f>
        <v>28.260000000000005</v>
      </c>
      <c r="V215" s="41">
        <f>T215-R215</f>
        <v>206.91200000000001</v>
      </c>
      <c r="W215" s="43">
        <f>HYPERLINK("[N&amp;P Old retention.xlsx]'Coastal N Reductions'!BI63", 56.42)</f>
        <v>56.42</v>
      </c>
      <c r="X215" s="43">
        <f>HYPERLINK("[N&amp;P New retention.xlsx]'Coastal N Reductions'!BI63", 68.61)</f>
        <v>68.61</v>
      </c>
      <c r="Y215" s="43">
        <f>HYPERLINK("[N&amp;P with New retention and Differentiation.xlsx]'Coastal N Reductions'!BI63", 58.29)</f>
        <v>58.29</v>
      </c>
      <c r="Z215" s="41">
        <f>X215-W215</f>
        <v>12.189999999999998</v>
      </c>
      <c r="AA215" s="41">
        <f>Y215-W215</f>
        <v>1.8699999999999974</v>
      </c>
      <c r="AB215" s="13"/>
      <c r="AC215" s="13"/>
      <c r="AD215" s="13"/>
      <c r="AE215" s="13"/>
      <c r="AF215" s="13"/>
      <c r="AG215" s="43">
        <f>HYPERLINK("[N&amp;P Old retention.xlsx]'Coastal N Reductions'!BH63", 39.274)</f>
        <v>39.274000000000001</v>
      </c>
      <c r="AH215" s="43">
        <f>HYPERLINK("[N&amp;P New retention.xlsx]'Coastal N Reductions'!BH63", 41.028)</f>
        <v>41.027999999999999</v>
      </c>
      <c r="AI215" s="43">
        <f>HYPERLINK("[N&amp;P with New retention and Differentiation.xlsx]'Coastal N Reductions'!BH63", 39.124)</f>
        <v>39.124000000000002</v>
      </c>
      <c r="AJ215" s="41">
        <f>AH215-AG215</f>
        <v>1.7539999999999978</v>
      </c>
      <c r="AK215" s="42">
        <f>AI215-AG215</f>
        <v>-0.14999999999999858</v>
      </c>
      <c r="AL215" s="43">
        <f>HYPERLINK("[N&amp;P Old retention.xlsx]'Coastal N Reductions'!AZ63", 540.7482)</f>
        <v>540.7482</v>
      </c>
      <c r="AM215" s="43">
        <f>HYPERLINK("[N&amp;P New retention.xlsx]'Coastal N Reductions'!AZ63", 759.9258)</f>
        <v>759.92579999999998</v>
      </c>
      <c r="AN215" s="43">
        <f>HYPERLINK("[N&amp;P with New retention and Differentiation.xlsx]'Coastal N Reductions'!AZ63", 763.5072)</f>
        <v>763.50720000000001</v>
      </c>
      <c r="AO215" s="41">
        <f>AM215-AL215</f>
        <v>219.17759999999998</v>
      </c>
      <c r="AP215" s="41">
        <f>AN215-AL215</f>
        <v>222.75900000000001</v>
      </c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</row>
    <row r="216" spans="1:62" x14ac:dyDescent="0.55000000000000004">
      <c r="A216" s="30">
        <v>221</v>
      </c>
      <c r="B216" s="6" t="s">
        <v>251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</row>
    <row r="217" spans="1:62" x14ac:dyDescent="0.55000000000000004">
      <c r="A217" s="31">
        <v>222</v>
      </c>
      <c r="B217" s="5" t="s">
        <v>252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</row>
    <row r="218" spans="1:62" x14ac:dyDescent="0.55000000000000004">
      <c r="A218" s="30">
        <v>224</v>
      </c>
      <c r="B218" s="6" t="s">
        <v>253</v>
      </c>
      <c r="C218" s="40">
        <f>HYPERLINK("[N&amp;P Old retention.xlsx]'Coastal N Reductions'!BD66", 3098.754)</f>
        <v>3098.7539999999999</v>
      </c>
      <c r="D218" s="40">
        <f>HYPERLINK("[N&amp;P New retention.xlsx]'Coastal N Reductions'!BD66", 3273.234)</f>
        <v>3273.2339999999999</v>
      </c>
      <c r="E218" s="40">
        <f>HYPERLINK("[N&amp;P with New retention and Differentiation.xlsx]'Coastal N Reductions'!BD66", 3283.384)</f>
        <v>3283.384</v>
      </c>
      <c r="F218" s="41">
        <f>D218-C218</f>
        <v>174.48000000000002</v>
      </c>
      <c r="G218" s="41">
        <f>E218-C218</f>
        <v>184.63000000000011</v>
      </c>
      <c r="H218" s="40">
        <f>HYPERLINK("[N&amp;P Old retention.xlsx]'Coastal N Reductions'!AV66", 613.21)</f>
        <v>613.21</v>
      </c>
      <c r="I218" s="40">
        <f>HYPERLINK("[N&amp;P New retention.xlsx]'Coastal N Reductions'!AV66", 652.568)</f>
        <v>652.56799999999998</v>
      </c>
      <c r="J218" s="40">
        <f>HYPERLINK("[N&amp;P with New retention and Differentiation.xlsx]'Coastal N Reductions'!AV66", 649.816)</f>
        <v>649.81600000000003</v>
      </c>
      <c r="K218" s="41">
        <f>I218-H218</f>
        <v>39.357999999999947</v>
      </c>
      <c r="L218" s="41">
        <f>J218-H218</f>
        <v>36.605999999999995</v>
      </c>
      <c r="M218" s="40">
        <f>HYPERLINK("[N&amp;P Old retention.xlsx]'Coastal N Reductions'!AX66", 133.33)</f>
        <v>133.33000000000001</v>
      </c>
      <c r="N218" s="40">
        <f>HYPERLINK("[N&amp;P New retention.xlsx]'Coastal N Reductions'!AX66", 117.912)</f>
        <v>117.91200000000001</v>
      </c>
      <c r="O218" s="40">
        <f>HYPERLINK("[N&amp;P with New retention and Differentiation.xlsx]'Coastal N Reductions'!AX66", 117.912)</f>
        <v>117.91200000000001</v>
      </c>
      <c r="P218" s="42">
        <f>N218-M218</f>
        <v>-15.418000000000006</v>
      </c>
      <c r="Q218" s="42">
        <f>O218-M218</f>
        <v>-15.418000000000006</v>
      </c>
      <c r="R218" s="40">
        <f>HYPERLINK("[N&amp;P Old retention.xlsx]'Coastal N Reductions'!BF66", 3.9)</f>
        <v>3.9</v>
      </c>
      <c r="S218" s="40">
        <f>HYPERLINK("[N&amp;P New retention.xlsx]'Coastal N Reductions'!BF66", 2.02)</f>
        <v>2.02</v>
      </c>
      <c r="T218" s="40">
        <f>HYPERLINK("[N&amp;P with New retention and Differentiation.xlsx]'Coastal N Reductions'!BF66", 2.02)</f>
        <v>2.02</v>
      </c>
      <c r="U218" s="42">
        <f>S218-R218</f>
        <v>-1.88</v>
      </c>
      <c r="V218" s="42">
        <f>T218-R218</f>
        <v>-1.88</v>
      </c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40">
        <f>HYPERLINK("[N&amp;P Old retention.xlsx]'Coastal N Reductions'!BH66", 42.798)</f>
        <v>42.798000000000002</v>
      </c>
      <c r="AH218" s="40">
        <f>HYPERLINK("[N&amp;P New retention.xlsx]'Coastal N Reductions'!BH66", 51.542)</f>
        <v>51.542000000000002</v>
      </c>
      <c r="AI218" s="40">
        <f>HYPERLINK("[N&amp;P with New retention and Differentiation.xlsx]'Coastal N Reductions'!BH66", 51.542)</f>
        <v>51.542000000000002</v>
      </c>
      <c r="AJ218" s="41">
        <f>AH218-AG218</f>
        <v>8.7439999999999998</v>
      </c>
      <c r="AK218" s="41">
        <f>AI218-AG218</f>
        <v>8.7439999999999998</v>
      </c>
      <c r="AL218" s="40">
        <f>HYPERLINK("[N&amp;P Old retention.xlsx]'Coastal N Reductions'!AZ66", 157.8042)</f>
        <v>157.80420000000001</v>
      </c>
      <c r="AM218" s="40">
        <f>HYPERLINK("[N&amp;P New retention.xlsx]'Coastal N Reductions'!AZ66", 220.8798)</f>
        <v>220.87979999999999</v>
      </c>
      <c r="AN218" s="40">
        <f>HYPERLINK("[N&amp;P with New retention and Differentiation.xlsx]'Coastal N Reductions'!AZ66", 218.2614)</f>
        <v>218.26140000000001</v>
      </c>
      <c r="AO218" s="41">
        <f>AM218-AL218</f>
        <v>63.07559999999998</v>
      </c>
      <c r="AP218" s="41">
        <f>AN218-AL218</f>
        <v>60.4572</v>
      </c>
      <c r="AQ218" s="18"/>
      <c r="AR218" s="18"/>
      <c r="AS218" s="18"/>
      <c r="AT218" s="18"/>
      <c r="AU218" s="18"/>
      <c r="AV218" s="40">
        <f>HYPERLINK("[N&amp;P Old retention.xlsx]'Coastal N Reductions'!BC66", 0.108)</f>
        <v>0.108</v>
      </c>
      <c r="AW218" s="18"/>
      <c r="AX218" s="18"/>
      <c r="AY218" s="42">
        <f>AW218-AV218</f>
        <v>-0.108</v>
      </c>
      <c r="AZ218" s="42">
        <f>AX218-AV218</f>
        <v>-0.108</v>
      </c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</row>
    <row r="219" spans="1:62" x14ac:dyDescent="0.55000000000000004">
      <c r="A219" s="31">
        <v>225</v>
      </c>
      <c r="B219" s="5" t="s">
        <v>254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</row>
    <row r="220" spans="1:62" x14ac:dyDescent="0.55000000000000004">
      <c r="A220" s="30">
        <v>231</v>
      </c>
      <c r="B220" s="6" t="s">
        <v>255</v>
      </c>
      <c r="C220" s="40">
        <f>HYPERLINK("[N&amp;P Old retention.xlsx]'Coastal N Reductions'!BD68", 559.708)</f>
        <v>559.70799999999997</v>
      </c>
      <c r="D220" s="40">
        <f>HYPERLINK("[N&amp;P New retention.xlsx]'Coastal N Reductions'!BD68", 872.678)</f>
        <v>872.678</v>
      </c>
      <c r="E220" s="40">
        <f>HYPERLINK("[N&amp;P with New retention and Differentiation.xlsx]'Coastal N Reductions'!BD68", 868.654)</f>
        <v>868.654</v>
      </c>
      <c r="F220" s="41">
        <f>D220-C220</f>
        <v>312.97000000000003</v>
      </c>
      <c r="G220" s="41">
        <f>E220-C220</f>
        <v>308.94600000000003</v>
      </c>
      <c r="H220" s="40">
        <f>HYPERLINK("[N&amp;P Old retention.xlsx]'Coastal N Reductions'!AV68", 106.068)</f>
        <v>106.068</v>
      </c>
      <c r="I220" s="40">
        <f>HYPERLINK("[N&amp;P New retention.xlsx]'Coastal N Reductions'!AV68", 50.004)</f>
        <v>50.003999999999998</v>
      </c>
      <c r="J220" s="40">
        <f>HYPERLINK("[N&amp;P with New retention and Differentiation.xlsx]'Coastal N Reductions'!AV68", 50.932)</f>
        <v>50.932000000000002</v>
      </c>
      <c r="K220" s="42">
        <f>I220-H220</f>
        <v>-56.064</v>
      </c>
      <c r="L220" s="42">
        <f>J220-H220</f>
        <v>-55.135999999999996</v>
      </c>
      <c r="M220" s="40">
        <f>HYPERLINK("[N&amp;P Old retention.xlsx]'Coastal N Reductions'!AX68", 348.056)</f>
        <v>348.05599999999998</v>
      </c>
      <c r="N220" s="40">
        <f>HYPERLINK("[N&amp;P New retention.xlsx]'Coastal N Reductions'!AX68", 274.956)</f>
        <v>274.95600000000002</v>
      </c>
      <c r="O220" s="40">
        <f>HYPERLINK("[N&amp;P with New retention and Differentiation.xlsx]'Coastal N Reductions'!AX68", 274.956)</f>
        <v>274.95600000000002</v>
      </c>
      <c r="P220" s="42">
        <f>N220-M220</f>
        <v>-73.099999999999966</v>
      </c>
      <c r="Q220" s="42">
        <f>O220-M220</f>
        <v>-73.099999999999966</v>
      </c>
      <c r="R220" s="40">
        <f>HYPERLINK("[N&amp;P Old retention.xlsx]'Coastal N Reductions'!BF68", 54.15)</f>
        <v>54.15</v>
      </c>
      <c r="S220" s="40">
        <f>HYPERLINK("[N&amp;P New retention.xlsx]'Coastal N Reductions'!BF68", 54.15)</f>
        <v>54.15</v>
      </c>
      <c r="T220" s="40">
        <f>HYPERLINK("[N&amp;P with New retention and Differentiation.xlsx]'Coastal N Reductions'!BF68", 59.006)</f>
        <v>59.006</v>
      </c>
      <c r="U220" s="18"/>
      <c r="V220" s="41">
        <f>T220-R220</f>
        <v>4.8560000000000016</v>
      </c>
      <c r="W220" s="18"/>
      <c r="X220" s="40">
        <f>HYPERLINK("[N&amp;P New retention.xlsx]'Coastal N Reductions'!BI68", 0.12)</f>
        <v>0.12</v>
      </c>
      <c r="Y220" s="40">
        <f>HYPERLINK("[N&amp;P with New retention and Differentiation.xlsx]'Coastal N Reductions'!BI68", 0.12)</f>
        <v>0.12</v>
      </c>
      <c r="Z220" s="41">
        <f>X220-W220</f>
        <v>0.12</v>
      </c>
      <c r="AA220" s="41">
        <f>Y220-W220</f>
        <v>0.12</v>
      </c>
      <c r="AB220" s="26">
        <f>HYPERLINK("[N&amp;P Old retention.xlsx]'Coastal N Reductions'!BS68", 2000)</f>
        <v>2000</v>
      </c>
      <c r="AC220" s="26">
        <f>HYPERLINK("[N&amp;P New retention.xlsx]'Coastal N Reductions'!BS68", 2040)</f>
        <v>2040</v>
      </c>
      <c r="AD220" s="26">
        <f>HYPERLINK("[N&amp;P with New retention and Differentiation.xlsx]'Coastal N Reductions'!BS68", 2040)</f>
        <v>2040</v>
      </c>
      <c r="AE220" s="16">
        <f>AC220-AB220</f>
        <v>40</v>
      </c>
      <c r="AF220" s="16">
        <f>AD220-AB220</f>
        <v>40</v>
      </c>
      <c r="AG220" s="40">
        <f>HYPERLINK("[N&amp;P Old retention.xlsx]'Coastal N Reductions'!BH68", 6.39)</f>
        <v>6.39</v>
      </c>
      <c r="AH220" s="40">
        <f>HYPERLINK("[N&amp;P New retention.xlsx]'Coastal N Reductions'!BH68", 7.854)</f>
        <v>7.8540000000000001</v>
      </c>
      <c r="AI220" s="40">
        <f>HYPERLINK("[N&amp;P with New retention and Differentiation.xlsx]'Coastal N Reductions'!BH68", 7.854)</f>
        <v>7.8540000000000001</v>
      </c>
      <c r="AJ220" s="41">
        <f>AH220-AG220</f>
        <v>1.4640000000000004</v>
      </c>
      <c r="AK220" s="41">
        <f>AI220-AG220</f>
        <v>1.4640000000000004</v>
      </c>
      <c r="AL220" s="40">
        <f>HYPERLINK("[N&amp;P Old retention.xlsx]'Coastal N Reductions'!AZ68", 18.3192)</f>
        <v>18.319199999999999</v>
      </c>
      <c r="AM220" s="40">
        <f>HYPERLINK("[N&amp;P New retention.xlsx]'Coastal N Reductions'!AZ68", 16.8018)</f>
        <v>16.8018</v>
      </c>
      <c r="AN220" s="40">
        <f>HYPERLINK("[N&amp;P with New retention and Differentiation.xlsx]'Coastal N Reductions'!AZ68", 16.8018)</f>
        <v>16.8018</v>
      </c>
      <c r="AO220" s="42">
        <f>AM220-AL220</f>
        <v>-1.5173999999999985</v>
      </c>
      <c r="AP220" s="42">
        <f>AN220-AL220</f>
        <v>-1.5173999999999985</v>
      </c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26">
        <f>HYPERLINK("[N&amp;P Old retention.xlsx]'Coastal N Reductions'!BT68", 1)</f>
        <v>1</v>
      </c>
      <c r="BG220" s="26">
        <f>HYPERLINK("[N&amp;P New retention.xlsx]'Coastal N Reductions'!BT68", 2)</f>
        <v>2</v>
      </c>
      <c r="BH220" s="26">
        <f>HYPERLINK("[N&amp;P with New retention and Differentiation.xlsx]'Coastal N Reductions'!BT68", 2)</f>
        <v>2</v>
      </c>
      <c r="BI220" s="16">
        <f>BG220-BF220</f>
        <v>1</v>
      </c>
      <c r="BJ220" s="16">
        <f>BH220-BF220</f>
        <v>1</v>
      </c>
    </row>
    <row r="221" spans="1:62" x14ac:dyDescent="0.55000000000000004">
      <c r="A221" s="31">
        <v>232</v>
      </c>
      <c r="B221" s="5" t="s">
        <v>256</v>
      </c>
      <c r="C221" s="43">
        <f>HYPERLINK("[N&amp;P Old retention.xlsx]'Coastal N Reductions'!BD69", 11411.818962766)</f>
        <v>11411.818962765999</v>
      </c>
      <c r="D221" s="43">
        <f>HYPERLINK("[N&amp;P New retention.xlsx]'Coastal N Reductions'!BD69", 11411.818962766)</f>
        <v>11411.818962765999</v>
      </c>
      <c r="E221" s="43">
        <f>HYPERLINK("[N&amp;P with New retention and Differentiation.xlsx]'Coastal N Reductions'!BD69", 11411.818962766)</f>
        <v>11411.818962765999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43">
        <f>HYPERLINK("[N&amp;P Old retention.xlsx]'Coastal N Reductions'!BF69", 2816.41295890411)</f>
        <v>2816.4129589041099</v>
      </c>
      <c r="S221" s="43">
        <f>HYPERLINK("[N&amp;P New retention.xlsx]'Coastal N Reductions'!BF69", 2816.41295890411)</f>
        <v>2816.4129589041099</v>
      </c>
      <c r="T221" s="43">
        <f>HYPERLINK("[N&amp;P with New retention and Differentiation.xlsx]'Coastal N Reductions'!BF69", 2816.41295890411)</f>
        <v>2816.4129589041099</v>
      </c>
      <c r="U221" s="13"/>
      <c r="V221" s="13"/>
      <c r="W221" s="13"/>
      <c r="X221" s="13"/>
      <c r="Y221" s="13"/>
      <c r="Z221" s="13"/>
      <c r="AA221" s="13"/>
      <c r="AB221" s="28">
        <f>HYPERLINK("[N&amp;P Old retention.xlsx]'Coastal N Reductions'!BS69", 9839.99999999287)</f>
        <v>9839.9999999928696</v>
      </c>
      <c r="AC221" s="28">
        <f>HYPERLINK("[N&amp;P New retention.xlsx]'Coastal N Reductions'!BS69", 9839.99999999287)</f>
        <v>9839.9999999928696</v>
      </c>
      <c r="AD221" s="28">
        <f>HYPERLINK("[N&amp;P with New retention and Differentiation.xlsx]'Coastal N Reductions'!BS69", 9839.99999999287)</f>
        <v>9839.9999999928696</v>
      </c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43">
        <f>HYPERLINK("[N&amp;P Old retention.xlsx]'Coastal N Reductions'!BP69", 546.256)</f>
        <v>546.25599999999997</v>
      </c>
      <c r="BB221" s="43">
        <f>HYPERLINK("[N&amp;P New retention.xlsx]'Coastal N Reductions'!BP69", 479.566)</f>
        <v>479.56599999999997</v>
      </c>
      <c r="BC221" s="43">
        <f>HYPERLINK("[N&amp;P with New retention and Differentiation.xlsx]'Coastal N Reductions'!BP69", 553.386)</f>
        <v>553.38599999999997</v>
      </c>
      <c r="BD221" s="42">
        <f>BB221-BA221</f>
        <v>-66.69</v>
      </c>
      <c r="BE221" s="41">
        <f>BC221-BA221</f>
        <v>7.1299999999999955</v>
      </c>
      <c r="BF221" s="13"/>
      <c r="BG221" s="13"/>
      <c r="BH221" s="13"/>
      <c r="BI221" s="13"/>
      <c r="BJ221" s="13"/>
    </row>
    <row r="222" spans="1:62" x14ac:dyDescent="0.55000000000000004">
      <c r="A222" s="30">
        <v>233</v>
      </c>
      <c r="B222" s="6" t="s">
        <v>257</v>
      </c>
      <c r="C222" s="40">
        <f>HYPERLINK("[N&amp;P Old retention.xlsx]'Coastal N Reductions'!BD70", 7878.07)</f>
        <v>7878.07</v>
      </c>
      <c r="D222" s="40">
        <f>HYPERLINK("[N&amp;P New retention.xlsx]'Coastal N Reductions'!BD70", 8477.406)</f>
        <v>8477.4060000000009</v>
      </c>
      <c r="E222" s="40">
        <f>HYPERLINK("[N&amp;P with New retention and Differentiation.xlsx]'Coastal N Reductions'!BD70", 8477.406)</f>
        <v>8477.4060000000009</v>
      </c>
      <c r="F222" s="41">
        <f>D222-C222</f>
        <v>599.33600000000115</v>
      </c>
      <c r="G222" s="41">
        <f>E222-C222</f>
        <v>599.33600000000115</v>
      </c>
      <c r="H222" s="40">
        <f>HYPERLINK("[N&amp;P Old retention.xlsx]'Coastal N Reductions'!AV70", 1139.432)</f>
        <v>1139.432</v>
      </c>
      <c r="I222" s="40">
        <f>HYPERLINK("[N&amp;P New retention.xlsx]'Coastal N Reductions'!AV70", 1225.836)</f>
        <v>1225.836</v>
      </c>
      <c r="J222" s="40">
        <f>HYPERLINK("[N&amp;P with New retention and Differentiation.xlsx]'Coastal N Reductions'!AV70", 1257.608)</f>
        <v>1257.6079999999999</v>
      </c>
      <c r="K222" s="41">
        <f>I222-H222</f>
        <v>86.403999999999996</v>
      </c>
      <c r="L222" s="41">
        <f>J222-H222</f>
        <v>118.17599999999993</v>
      </c>
      <c r="M222" s="40">
        <f>HYPERLINK("[N&amp;P Old retention.xlsx]'Coastal N Reductions'!AX70", 321.92)</f>
        <v>321.92</v>
      </c>
      <c r="N222" s="40">
        <f>HYPERLINK("[N&amp;P New retention.xlsx]'Coastal N Reductions'!AX70", 379.978)</f>
        <v>379.97800000000001</v>
      </c>
      <c r="O222" s="40">
        <f>HYPERLINK("[N&amp;P with New retention and Differentiation.xlsx]'Coastal N Reductions'!AX70", 379.978)</f>
        <v>379.97800000000001</v>
      </c>
      <c r="P222" s="41">
        <f>N222-M222</f>
        <v>58.057999999999993</v>
      </c>
      <c r="Q222" s="41">
        <f>O222-M222</f>
        <v>58.057999999999993</v>
      </c>
      <c r="R222" s="40">
        <f>HYPERLINK("[N&amp;P Old retention.xlsx]'Coastal N Reductions'!BF70", 2729.67206479482)</f>
        <v>2729.67206479482</v>
      </c>
      <c r="S222" s="40">
        <f>HYPERLINK("[N&amp;P New retention.xlsx]'Coastal N Reductions'!BF70", 3296.70806479482)</f>
        <v>3296.7080647948201</v>
      </c>
      <c r="T222" s="40">
        <f>HYPERLINK("[N&amp;P with New retention and Differentiation.xlsx]'Coastal N Reductions'!BF70", 3235.42806479482)</f>
        <v>3235.4280647948199</v>
      </c>
      <c r="U222" s="41">
        <f>S222-R222</f>
        <v>567.03600000000006</v>
      </c>
      <c r="V222" s="41">
        <f>T222-R222</f>
        <v>505.75599999999986</v>
      </c>
      <c r="W222" s="40">
        <f>HYPERLINK("[N&amp;P Old retention.xlsx]'Coastal N Reductions'!BI70", 0.002)</f>
        <v>2E-3</v>
      </c>
      <c r="X222" s="40">
        <f>HYPERLINK("[N&amp;P New retention.xlsx]'Coastal N Reductions'!BI70", 46.82)</f>
        <v>46.82</v>
      </c>
      <c r="Y222" s="40">
        <f>HYPERLINK("[N&amp;P with New retention and Differentiation.xlsx]'Coastal N Reductions'!BI70", 67.08)</f>
        <v>67.08</v>
      </c>
      <c r="Z222" s="41">
        <f>X222-W222</f>
        <v>46.817999999999998</v>
      </c>
      <c r="AA222" s="41">
        <f>Y222-W222</f>
        <v>67.078000000000003</v>
      </c>
      <c r="AB222" s="26">
        <f>HYPERLINK("[N&amp;P Old retention.xlsx]'Coastal N Reductions'!BS70", 2719.99999999392)</f>
        <v>2719.99999999392</v>
      </c>
      <c r="AC222" s="26">
        <f>HYPERLINK("[N&amp;P New retention.xlsx]'Coastal N Reductions'!BS70", 2719.99999999392)</f>
        <v>2719.99999999392</v>
      </c>
      <c r="AD222" s="26">
        <f>HYPERLINK("[N&amp;P with New retention and Differentiation.xlsx]'Coastal N Reductions'!BS70", 2719.99999999392)</f>
        <v>2719.99999999392</v>
      </c>
      <c r="AE222" s="18"/>
      <c r="AF222" s="18"/>
      <c r="AG222" s="40">
        <f>HYPERLINK("[N&amp;P Old retention.xlsx]'Coastal N Reductions'!BH70", 176.380569444445)</f>
        <v>176.380569444445</v>
      </c>
      <c r="AH222" s="40">
        <f>HYPERLINK("[N&amp;P New retention.xlsx]'Coastal N Reductions'!BH70", 247.656569444445)</f>
        <v>247.65656944444501</v>
      </c>
      <c r="AI222" s="40">
        <f>HYPERLINK("[N&amp;P with New retention and Differentiation.xlsx]'Coastal N Reductions'!BH70", 249.336569444445)</f>
        <v>249.33656944444499</v>
      </c>
      <c r="AJ222" s="41">
        <f>AH222-AG222</f>
        <v>71.27600000000001</v>
      </c>
      <c r="AK222" s="41">
        <f>AI222-AG222</f>
        <v>72.955999999999989</v>
      </c>
      <c r="AL222" s="40">
        <f>HYPERLINK("[N&amp;P Old retention.xlsx]'Coastal N Reductions'!AZ70", 17.1234)</f>
        <v>17.1234</v>
      </c>
      <c r="AM222" s="40">
        <f>HYPERLINK("[N&amp;P New retention.xlsx]'Coastal N Reductions'!AZ70", 189.9894)</f>
        <v>189.98939999999999</v>
      </c>
      <c r="AN222" s="40">
        <f>HYPERLINK("[N&amp;P with New retention and Differentiation.xlsx]'Coastal N Reductions'!AZ70", 189.573)</f>
        <v>189.57300000000001</v>
      </c>
      <c r="AO222" s="41">
        <f>AM222-AL222</f>
        <v>172.86599999999999</v>
      </c>
      <c r="AP222" s="41">
        <f>AN222-AL222</f>
        <v>172.4496</v>
      </c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40">
        <f>HYPERLINK("[N&amp;P Old retention.xlsx]'Coastal N Reductions'!BP70", 185.432)</f>
        <v>185.43199999999999</v>
      </c>
      <c r="BB222" s="40">
        <f>HYPERLINK("[N&amp;P New retention.xlsx]'Coastal N Reductions'!BP70", 169.194)</f>
        <v>169.19399999999999</v>
      </c>
      <c r="BC222" s="40">
        <f>HYPERLINK("[N&amp;P with New retention and Differentiation.xlsx]'Coastal N Reductions'!BP70", 201.982)</f>
        <v>201.982</v>
      </c>
      <c r="BD222" s="42">
        <f>BB222-BA222</f>
        <v>-16.238</v>
      </c>
      <c r="BE222" s="41">
        <f>BC222-BA222</f>
        <v>16.550000000000011</v>
      </c>
      <c r="BF222" s="18"/>
      <c r="BG222" s="18"/>
      <c r="BH222" s="18"/>
      <c r="BI222" s="18"/>
      <c r="BJ222" s="18"/>
    </row>
    <row r="223" spans="1:62" x14ac:dyDescent="0.55000000000000004">
      <c r="A223" s="31">
        <v>234</v>
      </c>
      <c r="B223" s="5" t="s">
        <v>258</v>
      </c>
      <c r="C223" s="43">
        <f>HYPERLINK("[N&amp;P Old retention.xlsx]'Coastal N Reductions'!BD71", 4226.832)</f>
        <v>4226.8320000000003</v>
      </c>
      <c r="D223" s="43">
        <f>HYPERLINK("[N&amp;P New retention.xlsx]'Coastal N Reductions'!BD71", 3485.168)</f>
        <v>3485.1680000000001</v>
      </c>
      <c r="E223" s="43">
        <f>HYPERLINK("[N&amp;P with New retention and Differentiation.xlsx]'Coastal N Reductions'!BD71", 3497.108)</f>
        <v>3497.1080000000002</v>
      </c>
      <c r="F223" s="42">
        <f>D223-C223</f>
        <v>-741.66400000000021</v>
      </c>
      <c r="G223" s="42">
        <f>E223-C223</f>
        <v>-729.72400000000016</v>
      </c>
      <c r="H223" s="43">
        <f>HYPERLINK("[N&amp;P Old retention.xlsx]'Coastal N Reductions'!AV71", 1464.642)</f>
        <v>1464.6420000000001</v>
      </c>
      <c r="I223" s="43">
        <f>HYPERLINK("[N&amp;P New retention.xlsx]'Coastal N Reductions'!AV71", 861.134)</f>
        <v>861.13400000000001</v>
      </c>
      <c r="J223" s="43">
        <f>HYPERLINK("[N&amp;P with New retention and Differentiation.xlsx]'Coastal N Reductions'!AV71", 861.134)</f>
        <v>861.13400000000001</v>
      </c>
      <c r="K223" s="42">
        <f>I223-H223</f>
        <v>-603.50800000000004</v>
      </c>
      <c r="L223" s="42">
        <f>J223-H223</f>
        <v>-603.50800000000004</v>
      </c>
      <c r="M223" s="43">
        <f>HYPERLINK("[N&amp;P Old retention.xlsx]'Coastal N Reductions'!AX71", 138.616)</f>
        <v>138.61600000000001</v>
      </c>
      <c r="N223" s="43">
        <f>HYPERLINK("[N&amp;P New retention.xlsx]'Coastal N Reductions'!AX71", 30.056)</f>
        <v>30.056000000000001</v>
      </c>
      <c r="O223" s="43">
        <f>HYPERLINK("[N&amp;P with New retention and Differentiation.xlsx]'Coastal N Reductions'!AX71", 30.056)</f>
        <v>30.056000000000001</v>
      </c>
      <c r="P223" s="42">
        <f>N223-M223</f>
        <v>-108.56000000000002</v>
      </c>
      <c r="Q223" s="42">
        <f>O223-M223</f>
        <v>-108.56000000000002</v>
      </c>
      <c r="R223" s="43">
        <f>HYPERLINK("[N&amp;P Old retention.xlsx]'Coastal N Reductions'!BF71", 189.732)</f>
        <v>189.732</v>
      </c>
      <c r="S223" s="43">
        <f>HYPERLINK("[N&amp;P New retention.xlsx]'Coastal N Reductions'!BF71", 60.62)</f>
        <v>60.62</v>
      </c>
      <c r="T223" s="43">
        <f>HYPERLINK("[N&amp;P with New retention and Differentiation.xlsx]'Coastal N Reductions'!BF71", 60.62)</f>
        <v>60.62</v>
      </c>
      <c r="U223" s="42">
        <f>S223-R223</f>
        <v>-129.11199999999999</v>
      </c>
      <c r="V223" s="42">
        <f>T223-R223</f>
        <v>-129.11199999999999</v>
      </c>
      <c r="W223" s="43">
        <f>HYPERLINK("[N&amp;P Old retention.xlsx]'Coastal N Reductions'!BI71", 37.2663666666667)</f>
        <v>37.266366666666698</v>
      </c>
      <c r="X223" s="13"/>
      <c r="Y223" s="13"/>
      <c r="Z223" s="42">
        <f>X223-W223</f>
        <v>-37.266366666666698</v>
      </c>
      <c r="AA223" s="42">
        <f>Y223-W223</f>
        <v>-37.266366666666698</v>
      </c>
      <c r="AB223" s="13"/>
      <c r="AC223" s="13"/>
      <c r="AD223" s="13"/>
      <c r="AE223" s="13"/>
      <c r="AF223" s="13"/>
      <c r="AG223" s="43">
        <f>HYPERLINK("[N&amp;P Old retention.xlsx]'Coastal N Reductions'!BH71", 1043.498)</f>
        <v>1043.498</v>
      </c>
      <c r="AH223" s="43">
        <f>HYPERLINK("[N&amp;P New retention.xlsx]'Coastal N Reductions'!BH71", 366.718)</f>
        <v>366.71800000000002</v>
      </c>
      <c r="AI223" s="43">
        <f>HYPERLINK("[N&amp;P with New retention and Differentiation.xlsx]'Coastal N Reductions'!BH71", 366.054)</f>
        <v>366.05399999999997</v>
      </c>
      <c r="AJ223" s="42">
        <f>AH223-AG223</f>
        <v>-676.78</v>
      </c>
      <c r="AK223" s="42">
        <f>AI223-AG223</f>
        <v>-677.44400000000007</v>
      </c>
      <c r="AL223" s="43">
        <f>HYPERLINK("[N&amp;P Old retention.xlsx]'Coastal N Reductions'!AZ71", 160.2498)</f>
        <v>160.24979999999999</v>
      </c>
      <c r="AM223" s="13"/>
      <c r="AN223" s="13"/>
      <c r="AO223" s="42">
        <f>AM223-AL223</f>
        <v>-160.24979999999999</v>
      </c>
      <c r="AP223" s="42">
        <f>AN223-AL223</f>
        <v>-160.24979999999999</v>
      </c>
      <c r="AQ223" s="43">
        <f>HYPERLINK("[N&amp;P Old retention.xlsx]'Coastal N Reductions'!BE71", 0.256000000000001)</f>
        <v>0.256000000000001</v>
      </c>
      <c r="AR223" s="13"/>
      <c r="AS223" s="13"/>
      <c r="AT223" s="42">
        <f>AR223-AQ223</f>
        <v>-0.256000000000001</v>
      </c>
      <c r="AU223" s="42">
        <f>AS223-AQ223</f>
        <v>-0.256000000000001</v>
      </c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</row>
    <row r="224" spans="1:62" x14ac:dyDescent="0.55000000000000004">
      <c r="A224" s="30">
        <v>235</v>
      </c>
      <c r="B224" s="6" t="s">
        <v>259</v>
      </c>
      <c r="C224" s="40">
        <f>HYPERLINK("[N&amp;P Old retention.xlsx]'Coastal N Reductions'!BD72", 135.66)</f>
        <v>135.66</v>
      </c>
      <c r="D224" s="40">
        <f>HYPERLINK("[N&amp;P New retention.xlsx]'Coastal N Reductions'!BD72", 135.66)</f>
        <v>135.66</v>
      </c>
      <c r="E224" s="40">
        <f>HYPERLINK("[N&amp;P with New retention and Differentiation.xlsx]'Coastal N Reductions'!BD72", 135.66)</f>
        <v>135.66</v>
      </c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40">
        <f>HYPERLINK("[N&amp;P Old retention.xlsx]'Coastal N Reductions'!BF72", 17.174)</f>
        <v>17.173999999999999</v>
      </c>
      <c r="S224" s="40">
        <f>HYPERLINK("[N&amp;P New retention.xlsx]'Coastal N Reductions'!BF72", 17.174)</f>
        <v>17.173999999999999</v>
      </c>
      <c r="T224" s="40">
        <f>HYPERLINK("[N&amp;P with New retention and Differentiation.xlsx]'Coastal N Reductions'!BF72", 17.174)</f>
        <v>17.173999999999999</v>
      </c>
      <c r="U224" s="18"/>
      <c r="V224" s="18"/>
      <c r="W224" s="18"/>
      <c r="X224" s="18"/>
      <c r="Y224" s="18"/>
      <c r="Z224" s="18"/>
      <c r="AA224" s="18"/>
      <c r="AB224" s="26">
        <f>HYPERLINK("[N&amp;P Old retention.xlsx]'Coastal N Reductions'!BS72", 20)</f>
        <v>20</v>
      </c>
      <c r="AC224" s="26">
        <f>HYPERLINK("[N&amp;P New retention.xlsx]'Coastal N Reductions'!BS72", 20)</f>
        <v>20</v>
      </c>
      <c r="AD224" s="26">
        <f>HYPERLINK("[N&amp;P with New retention and Differentiation.xlsx]'Coastal N Reductions'!BS72", 20)</f>
        <v>20</v>
      </c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</row>
    <row r="225" spans="1:62" x14ac:dyDescent="0.55000000000000004">
      <c r="A225" s="31">
        <v>236</v>
      </c>
      <c r="B225" s="5" t="s">
        <v>260</v>
      </c>
      <c r="C225" s="43">
        <f>HYPERLINK("[N&amp;P Old retention.xlsx]'Coastal N Reductions'!BD73", 10539.922)</f>
        <v>10539.922</v>
      </c>
      <c r="D225" s="43">
        <f>HYPERLINK("[N&amp;P New retention.xlsx]'Coastal N Reductions'!BD73", 10424.496)</f>
        <v>10424.495999999999</v>
      </c>
      <c r="E225" s="43">
        <f>HYPERLINK("[N&amp;P with New retention and Differentiation.xlsx]'Coastal N Reductions'!BD73", 10398.666)</f>
        <v>10398.665999999999</v>
      </c>
      <c r="F225" s="42">
        <f>D225-C225</f>
        <v>-115.4260000000013</v>
      </c>
      <c r="G225" s="42">
        <f>E225-C225</f>
        <v>-141.25600000000122</v>
      </c>
      <c r="H225" s="43">
        <f>HYPERLINK("[N&amp;P Old retention.xlsx]'Coastal N Reductions'!AV73", 2112.524)</f>
        <v>2112.5239999999999</v>
      </c>
      <c r="I225" s="43">
        <f>HYPERLINK("[N&amp;P New retention.xlsx]'Coastal N Reductions'!AV73", 2047.188)</f>
        <v>2047.1880000000001</v>
      </c>
      <c r="J225" s="43">
        <f>HYPERLINK("[N&amp;P with New retention and Differentiation.xlsx]'Coastal N Reductions'!AV73", 2046.2)</f>
        <v>2046.2</v>
      </c>
      <c r="K225" s="42">
        <f>I225-H225</f>
        <v>-65.335999999999785</v>
      </c>
      <c r="L225" s="42">
        <f>J225-H225</f>
        <v>-66.323999999999842</v>
      </c>
      <c r="M225" s="43">
        <f>HYPERLINK("[N&amp;P Old retention.xlsx]'Coastal N Reductions'!AX73", 1576.182)</f>
        <v>1576.182</v>
      </c>
      <c r="N225" s="43">
        <f>HYPERLINK("[N&amp;P New retention.xlsx]'Coastal N Reductions'!AX73", 1073.13)</f>
        <v>1073.1300000000001</v>
      </c>
      <c r="O225" s="43">
        <f>HYPERLINK("[N&amp;P with New retention and Differentiation.xlsx]'Coastal N Reductions'!AX73", 1068.61)</f>
        <v>1068.6099999999999</v>
      </c>
      <c r="P225" s="42">
        <f>N225-M225</f>
        <v>-503.05199999999991</v>
      </c>
      <c r="Q225" s="42">
        <f>O225-M225</f>
        <v>-507.57200000000012</v>
      </c>
      <c r="R225" s="43">
        <f>HYPERLINK("[N&amp;P Old retention.xlsx]'Coastal N Reductions'!BF73", 232.436)</f>
        <v>232.43600000000001</v>
      </c>
      <c r="S225" s="43">
        <f>HYPERLINK("[N&amp;P New retention.xlsx]'Coastal N Reductions'!BF73", 200.59)</f>
        <v>200.59</v>
      </c>
      <c r="T225" s="43">
        <f>HYPERLINK("[N&amp;P with New retention and Differentiation.xlsx]'Coastal N Reductions'!BF73", 193.56)</f>
        <v>193.56</v>
      </c>
      <c r="U225" s="42">
        <f>S225-R225</f>
        <v>-31.846000000000004</v>
      </c>
      <c r="V225" s="42">
        <f>T225-R225</f>
        <v>-38.876000000000005</v>
      </c>
      <c r="W225" s="43">
        <f>HYPERLINK("[N&amp;P Old retention.xlsx]'Coastal N Reductions'!BI73", 624.613764705882)</f>
        <v>624.61376470588198</v>
      </c>
      <c r="X225" s="43">
        <f>HYPERLINK("[N&amp;P New retention.xlsx]'Coastal N Reductions'!BI73", 219.325764705882)</f>
        <v>219.32576470588199</v>
      </c>
      <c r="Y225" s="43">
        <f>HYPERLINK("[N&amp;P with New retention and Differentiation.xlsx]'Coastal N Reductions'!BI73", 223.413764705882)</f>
        <v>223.41376470588199</v>
      </c>
      <c r="Z225" s="42">
        <f>X225-W225</f>
        <v>-405.28800000000001</v>
      </c>
      <c r="AA225" s="42">
        <f>Y225-W225</f>
        <v>-401.2</v>
      </c>
      <c r="AB225" s="28">
        <f>HYPERLINK("[N&amp;P Old retention.xlsx]'Coastal N Reductions'!BS73", 140)</f>
        <v>140</v>
      </c>
      <c r="AC225" s="28">
        <f>HYPERLINK("[N&amp;P New retention.xlsx]'Coastal N Reductions'!BS73", 120)</f>
        <v>120</v>
      </c>
      <c r="AD225" s="28">
        <f>HYPERLINK("[N&amp;P with New retention and Differentiation.xlsx]'Coastal N Reductions'!BS73", 120)</f>
        <v>120</v>
      </c>
      <c r="AE225" s="21">
        <f>AC225-AB225</f>
        <v>-20</v>
      </c>
      <c r="AF225" s="21">
        <f>AD225-AB225</f>
        <v>-20</v>
      </c>
      <c r="AG225" s="43">
        <f>HYPERLINK("[N&amp;P Old retention.xlsx]'Coastal N Reductions'!BH73", 498.86)</f>
        <v>498.86</v>
      </c>
      <c r="AH225" s="43">
        <f>HYPERLINK("[N&amp;P New retention.xlsx]'Coastal N Reductions'!BH73", 437.472)</f>
        <v>437.47199999999998</v>
      </c>
      <c r="AI225" s="43">
        <f>HYPERLINK("[N&amp;P with New retention and Differentiation.xlsx]'Coastal N Reductions'!BH73", 439.912)</f>
        <v>439.91199999999998</v>
      </c>
      <c r="AJ225" s="42">
        <f>AH225-AG225</f>
        <v>-61.388000000000034</v>
      </c>
      <c r="AK225" s="42">
        <f>AI225-AG225</f>
        <v>-58.948000000000036</v>
      </c>
      <c r="AL225" s="43">
        <f>HYPERLINK("[N&amp;P Old retention.xlsx]'Coastal N Reductions'!AZ73", 970.956)</f>
        <v>970.95600000000002</v>
      </c>
      <c r="AM225" s="43">
        <f>HYPERLINK("[N&amp;P New retention.xlsx]'Coastal N Reductions'!AZ73", 813.7326)</f>
        <v>813.73260000000005</v>
      </c>
      <c r="AN225" s="43">
        <f>HYPERLINK("[N&amp;P with New retention and Differentiation.xlsx]'Coastal N Reductions'!AZ73", 811.0494)</f>
        <v>811.04939999999999</v>
      </c>
      <c r="AO225" s="42">
        <f>AM225-AL225</f>
        <v>-157.22339999999997</v>
      </c>
      <c r="AP225" s="42">
        <f>AN225-AL225</f>
        <v>-159.90660000000003</v>
      </c>
      <c r="AQ225" s="43">
        <f>HYPERLINK("[N&amp;P Old retention.xlsx]'Coastal N Reductions'!BE73", 4.67)</f>
        <v>4.67</v>
      </c>
      <c r="AR225" s="43">
        <f>HYPERLINK("[N&amp;P New retention.xlsx]'Coastal N Reductions'!BE73", 5.44)</f>
        <v>5.44</v>
      </c>
      <c r="AS225" s="43">
        <f>HYPERLINK("[N&amp;P with New retention and Differentiation.xlsx]'Coastal N Reductions'!BE73", 2.94)</f>
        <v>2.94</v>
      </c>
      <c r="AT225" s="41">
        <f>AR225-AQ225</f>
        <v>0.77000000000000046</v>
      </c>
      <c r="AU225" s="42">
        <f>AS225-AQ225</f>
        <v>-1.73</v>
      </c>
      <c r="AV225" s="43">
        <f>HYPERLINK("[N&amp;P Old retention.xlsx]'Coastal N Reductions'!BC73", 4.4)</f>
        <v>4.4000000000000004</v>
      </c>
      <c r="AW225" s="13"/>
      <c r="AX225" s="43">
        <f>HYPERLINK("[N&amp;P with New retention and Differentiation.xlsx]'Coastal N Reductions'!BC73", 4.4)</f>
        <v>4.4000000000000004</v>
      </c>
      <c r="AY225" s="42">
        <f>AW225-AV225</f>
        <v>-4.4000000000000004</v>
      </c>
      <c r="AZ225" s="13"/>
      <c r="BA225" s="43">
        <f>HYPERLINK("[N&amp;P Old retention.xlsx]'Coastal N Reductions'!BP73", 12.99)</f>
        <v>12.99</v>
      </c>
      <c r="BB225" s="43">
        <f>HYPERLINK("[N&amp;P New retention.xlsx]'Coastal N Reductions'!BP73", 3.39)</f>
        <v>3.39</v>
      </c>
      <c r="BC225" s="43">
        <f>HYPERLINK("[N&amp;P with New retention and Differentiation.xlsx]'Coastal N Reductions'!BP73", 10.08)</f>
        <v>10.08</v>
      </c>
      <c r="BD225" s="42">
        <f>BB225-BA225</f>
        <v>-9.6</v>
      </c>
      <c r="BE225" s="42">
        <f>BC225-BA225</f>
        <v>-2.91</v>
      </c>
      <c r="BF225" s="13"/>
      <c r="BG225" s="13"/>
      <c r="BH225" s="13"/>
      <c r="BI225" s="13"/>
      <c r="BJ225" s="13"/>
    </row>
    <row r="226" spans="1:62" x14ac:dyDescent="0.55000000000000004">
      <c r="A226" s="30">
        <v>238</v>
      </c>
      <c r="B226" s="6" t="s">
        <v>261</v>
      </c>
      <c r="C226" s="40">
        <f>HYPERLINK("[N&amp;P Old retention.xlsx]'Coastal N Reductions'!BD74", 5178.198)</f>
        <v>5178.1980000000003</v>
      </c>
      <c r="D226" s="40">
        <f>HYPERLINK("[N&amp;P New retention.xlsx]'Coastal N Reductions'!BD74", 4721.934)</f>
        <v>4721.9340000000002</v>
      </c>
      <c r="E226" s="40">
        <f>HYPERLINK("[N&amp;P with New retention and Differentiation.xlsx]'Coastal N Reductions'!BD74", 4717.938)</f>
        <v>4717.9380000000001</v>
      </c>
      <c r="F226" s="42">
        <f>D226-C226</f>
        <v>-456.26400000000012</v>
      </c>
      <c r="G226" s="42">
        <f>E226-C226</f>
        <v>-460.26000000000022</v>
      </c>
      <c r="H226" s="40">
        <f>HYPERLINK("[N&amp;P Old retention.xlsx]'Coastal N Reductions'!AV74", 1491.778)</f>
        <v>1491.778</v>
      </c>
      <c r="I226" s="40">
        <f>HYPERLINK("[N&amp;P New retention.xlsx]'Coastal N Reductions'!AV74", 1474.45)</f>
        <v>1474.45</v>
      </c>
      <c r="J226" s="40">
        <f>HYPERLINK("[N&amp;P with New retention and Differentiation.xlsx]'Coastal N Reductions'!AV74", 1474.45)</f>
        <v>1474.45</v>
      </c>
      <c r="K226" s="42">
        <f>I226-H226</f>
        <v>-17.327999999999975</v>
      </c>
      <c r="L226" s="42">
        <f>J226-H226</f>
        <v>-17.327999999999975</v>
      </c>
      <c r="M226" s="40">
        <f>HYPERLINK("[N&amp;P Old retention.xlsx]'Coastal N Reductions'!AX74", 2.438)</f>
        <v>2.4380000000000002</v>
      </c>
      <c r="N226" s="40">
        <f>HYPERLINK("[N&amp;P New retention.xlsx]'Coastal N Reductions'!AX74", 35.328)</f>
        <v>35.328000000000003</v>
      </c>
      <c r="O226" s="40">
        <f>HYPERLINK("[N&amp;P with New retention and Differentiation.xlsx]'Coastal N Reductions'!AX74", 32.628)</f>
        <v>32.628</v>
      </c>
      <c r="P226" s="41">
        <f>N226-M226</f>
        <v>32.89</v>
      </c>
      <c r="Q226" s="41">
        <f>O226-M226</f>
        <v>30.19</v>
      </c>
      <c r="R226" s="40">
        <f>HYPERLINK("[N&amp;P Old retention.xlsx]'Coastal N Reductions'!BF74", 154.404)</f>
        <v>154.404</v>
      </c>
      <c r="S226" s="40">
        <f>HYPERLINK("[N&amp;P New retention.xlsx]'Coastal N Reductions'!BF74", 133.81)</f>
        <v>133.81</v>
      </c>
      <c r="T226" s="40">
        <f>HYPERLINK("[N&amp;P with New retention and Differentiation.xlsx]'Coastal N Reductions'!BF74", 132.21)</f>
        <v>132.21</v>
      </c>
      <c r="U226" s="42">
        <f>S226-R226</f>
        <v>-20.593999999999994</v>
      </c>
      <c r="V226" s="42">
        <f>T226-R226</f>
        <v>-22.193999999999988</v>
      </c>
      <c r="W226" s="40">
        <f>HYPERLINK("[N&amp;P Old retention.xlsx]'Coastal N Reductions'!BI74", 417.59)</f>
        <v>417.59</v>
      </c>
      <c r="X226" s="40">
        <f>HYPERLINK("[N&amp;P New retention.xlsx]'Coastal N Reductions'!BI74", 309.218)</f>
        <v>309.21800000000002</v>
      </c>
      <c r="Y226" s="40">
        <f>HYPERLINK("[N&amp;P with New retention and Differentiation.xlsx]'Coastal N Reductions'!BI74", 308.226)</f>
        <v>308.226</v>
      </c>
      <c r="Z226" s="42">
        <f>X226-W226</f>
        <v>-108.37199999999996</v>
      </c>
      <c r="AA226" s="42">
        <f>Y226-W226</f>
        <v>-109.36399999999998</v>
      </c>
      <c r="AB226" s="18"/>
      <c r="AC226" s="18"/>
      <c r="AD226" s="18"/>
      <c r="AE226" s="18"/>
      <c r="AF226" s="18"/>
      <c r="AG226" s="40">
        <f>HYPERLINK("[N&amp;P Old retention.xlsx]'Coastal N Reductions'!BH74", 48.372)</f>
        <v>48.372</v>
      </c>
      <c r="AH226" s="40">
        <f>HYPERLINK("[N&amp;P New retention.xlsx]'Coastal N Reductions'!BH74", 45.796)</f>
        <v>45.795999999999999</v>
      </c>
      <c r="AI226" s="40">
        <f>HYPERLINK("[N&amp;P with New retention and Differentiation.xlsx]'Coastal N Reductions'!BH74", 45.574)</f>
        <v>45.573999999999998</v>
      </c>
      <c r="AJ226" s="42">
        <f>AH226-AG226</f>
        <v>-2.5760000000000005</v>
      </c>
      <c r="AK226" s="42">
        <f>AI226-AG226</f>
        <v>-2.7980000000000018</v>
      </c>
      <c r="AL226" s="40">
        <f>HYPERLINK("[N&amp;P Old retention.xlsx]'Coastal N Reductions'!AZ74", 37.8204)</f>
        <v>37.820399999999999</v>
      </c>
      <c r="AM226" s="40">
        <f>HYPERLINK("[N&amp;P New retention.xlsx]'Coastal N Reductions'!AZ74", 50.766)</f>
        <v>50.765999999999998</v>
      </c>
      <c r="AN226" s="40">
        <f>HYPERLINK("[N&amp;P with New retention and Differentiation.xlsx]'Coastal N Reductions'!AZ74", 50.202)</f>
        <v>50.201999999999998</v>
      </c>
      <c r="AO226" s="41">
        <f>AM226-AL226</f>
        <v>12.945599999999999</v>
      </c>
      <c r="AP226" s="41">
        <f>AN226-AL226</f>
        <v>12.381599999999999</v>
      </c>
      <c r="AQ226" s="40">
        <f>HYPERLINK("[N&amp;P Old retention.xlsx]'Coastal N Reductions'!BE74", 29.046)</f>
        <v>29.045999999999999</v>
      </c>
      <c r="AR226" s="40">
        <f>HYPERLINK("[N&amp;P New retention.xlsx]'Coastal N Reductions'!BE74", 6.936)</f>
        <v>6.9359999999999999</v>
      </c>
      <c r="AS226" s="40">
        <f>HYPERLINK("[N&amp;P with New retention and Differentiation.xlsx]'Coastal N Reductions'!BE74", 5.756)</f>
        <v>5.7560000000000002</v>
      </c>
      <c r="AT226" s="42">
        <f>AR226-AQ226</f>
        <v>-22.11</v>
      </c>
      <c r="AU226" s="42">
        <f>AS226-AQ226</f>
        <v>-23.29</v>
      </c>
      <c r="AV226" s="40">
        <f>HYPERLINK("[N&amp;P Old retention.xlsx]'Coastal N Reductions'!BC74", 0.77)</f>
        <v>0.77</v>
      </c>
      <c r="AW226" s="18"/>
      <c r="AX226" s="40">
        <f>HYPERLINK("[N&amp;P with New retention and Differentiation.xlsx]'Coastal N Reductions'!BC74", 10.28)</f>
        <v>10.28</v>
      </c>
      <c r="AY226" s="42">
        <f>AW226-AV226</f>
        <v>-0.77</v>
      </c>
      <c r="AZ226" s="41">
        <f>AX226-AV226</f>
        <v>9.51</v>
      </c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</row>
    <row r="227" spans="1:62" x14ac:dyDescent="0.55000000000000004">
      <c r="A227" s="23"/>
      <c r="B227" s="24" t="s">
        <v>132</v>
      </c>
      <c r="C227" s="44">
        <v>181684.65226734601</v>
      </c>
      <c r="D227" s="44">
        <v>181970.10175425699</v>
      </c>
      <c r="E227" s="44">
        <v>176391.779105608</v>
      </c>
      <c r="F227" s="45">
        <f>D227-C227</f>
        <v>285.4494869109767</v>
      </c>
      <c r="G227" s="45">
        <f>E227-C227</f>
        <v>-5292.8731617380108</v>
      </c>
      <c r="H227" s="44">
        <v>95866.898000000001</v>
      </c>
      <c r="I227" s="44">
        <v>98281.346000000005</v>
      </c>
      <c r="J227" s="44">
        <v>100915.016</v>
      </c>
      <c r="K227" s="45">
        <f>I227-H227</f>
        <v>2414.448000000004</v>
      </c>
      <c r="L227" s="45">
        <f>J227-H227</f>
        <v>5048.1180000000022</v>
      </c>
      <c r="M227" s="44">
        <v>73026.114000000001</v>
      </c>
      <c r="N227" s="44">
        <v>75434.737999999998</v>
      </c>
      <c r="O227" s="44">
        <v>73401.813999999998</v>
      </c>
      <c r="P227" s="45">
        <f>N227-M227</f>
        <v>2408.6239999999962</v>
      </c>
      <c r="Q227" s="45">
        <f>O227-M227</f>
        <v>375.69999999999709</v>
      </c>
      <c r="R227" s="44">
        <v>111211.880190759</v>
      </c>
      <c r="S227" s="44">
        <v>108401.570818247</v>
      </c>
      <c r="T227" s="44">
        <v>113559.214960353</v>
      </c>
      <c r="U227" s="45">
        <f>S227-R227</f>
        <v>-2810.3093725119979</v>
      </c>
      <c r="V227" s="45">
        <f>T227-R227</f>
        <v>2347.3347695940029</v>
      </c>
      <c r="W227" s="44">
        <v>20459.119048245298</v>
      </c>
      <c r="X227" s="44">
        <v>15585.4118724688</v>
      </c>
      <c r="Y227" s="44">
        <v>15873.639872468801</v>
      </c>
      <c r="Z227" s="45">
        <f>X227-W227</f>
        <v>-4873.7071757764988</v>
      </c>
      <c r="AA227" s="45">
        <f>Y227-W227</f>
        <v>-4585.4791757764979</v>
      </c>
      <c r="AB227" s="25">
        <v>134279.99999993001</v>
      </c>
      <c r="AC227" s="25">
        <v>169629.99999990701</v>
      </c>
      <c r="AD227" s="25">
        <v>167079.999999917</v>
      </c>
      <c r="AE227" s="45">
        <f>AC227-AB227</f>
        <v>35349.999999977008</v>
      </c>
      <c r="AF227" s="45">
        <f>AD227-AB227</f>
        <v>32799.999999986991</v>
      </c>
      <c r="AG227" s="44">
        <v>15499.496426255901</v>
      </c>
      <c r="AH227" s="44">
        <v>14279.6765406623</v>
      </c>
      <c r="AI227" s="44">
        <v>14473.2204266094</v>
      </c>
      <c r="AJ227" s="45">
        <f>AH227-AG227</f>
        <v>-1219.8198855936007</v>
      </c>
      <c r="AK227" s="45">
        <f>AI227-AG227</f>
        <v>-1026.2759996465011</v>
      </c>
      <c r="AL227" s="44">
        <v>22006.270199999999</v>
      </c>
      <c r="AM227" s="44">
        <v>22570.338</v>
      </c>
      <c r="AN227" s="44">
        <v>22597.0344</v>
      </c>
      <c r="AO227" s="45">
        <f>AM227-AL227</f>
        <v>564.06780000000072</v>
      </c>
      <c r="AP227" s="45">
        <f>AN227-AL227</f>
        <v>590.76420000000144</v>
      </c>
      <c r="AQ227" s="44">
        <v>1508.3148249226001</v>
      </c>
      <c r="AR227" s="44">
        <v>1905.5431979939599</v>
      </c>
      <c r="AS227" s="44">
        <v>1727.3897045373899</v>
      </c>
      <c r="AT227" s="45">
        <f>AR227-AQ227</f>
        <v>397.22837307135978</v>
      </c>
      <c r="AU227" s="45">
        <f>AS227-AQ227</f>
        <v>219.07487961478978</v>
      </c>
      <c r="AV227" s="44">
        <v>33.822000000000003</v>
      </c>
      <c r="AW227" s="44">
        <v>23.69</v>
      </c>
      <c r="AX227" s="44">
        <v>224.59800000000001</v>
      </c>
      <c r="AY227" s="45">
        <f>AW227-AV227</f>
        <v>-10.132000000000001</v>
      </c>
      <c r="AZ227" s="45">
        <f>AX227-AV227</f>
        <v>190.77600000000001</v>
      </c>
      <c r="BA227" s="44">
        <v>8170.482</v>
      </c>
      <c r="BB227" s="44">
        <v>8404.8439999999991</v>
      </c>
      <c r="BC227" s="44">
        <v>8472.4359999999997</v>
      </c>
      <c r="BD227" s="45">
        <f>BB227-BA227</f>
        <v>234.36199999999917</v>
      </c>
      <c r="BE227" s="45">
        <f>BC227-BA227</f>
        <v>301.95399999999972</v>
      </c>
      <c r="BF227" s="25">
        <v>14</v>
      </c>
      <c r="BG227" s="25">
        <v>18</v>
      </c>
      <c r="BH227" s="25">
        <v>18</v>
      </c>
      <c r="BI227" s="45">
        <f>BG227-BF227</f>
        <v>4</v>
      </c>
      <c r="BJ227" s="45">
        <f>BH227-BF227</f>
        <v>4</v>
      </c>
    </row>
    <row r="229" spans="1:62" ht="18" customHeight="1" x14ac:dyDescent="0.55000000000000004">
      <c r="A229" s="62" t="s">
        <v>300</v>
      </c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</row>
    <row r="230" spans="1:62" x14ac:dyDescent="0.55000000000000004">
      <c r="A230" s="30">
        <v>1</v>
      </c>
      <c r="B230" s="6" t="s">
        <v>154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40">
        <f>HYPERLINK("[P Only Old retention.xlsx]'Coastal N Reductions'!BF2", 3631.756)</f>
        <v>3631.7559999999999</v>
      </c>
      <c r="S230" s="40">
        <f>HYPERLINK("[P Only New retention.xlsx]'Coastal N Reductions'!BF2", 3631.756)</f>
        <v>3631.7559999999999</v>
      </c>
      <c r="T230" s="40">
        <f>HYPERLINK("[P Only with New retention and Differentiation.xlsx]'Coastal N Reductions'!BF2", 3631.756)</f>
        <v>3631.7559999999999</v>
      </c>
      <c r="U230" s="18"/>
      <c r="V230" s="18"/>
      <c r="W230" s="18"/>
      <c r="X230" s="18"/>
      <c r="Y230" s="18"/>
      <c r="Z230" s="18"/>
      <c r="AA230" s="18"/>
      <c r="AB230" s="26">
        <f>HYPERLINK("[P Only Old retention.xlsx]'Coastal N Reductions'!BS2", 4289.99999999965)</f>
        <v>4289.9999999996498</v>
      </c>
      <c r="AC230" s="26">
        <f>HYPERLINK("[P Only New retention.xlsx]'Coastal N Reductions'!BS2", 4289.99999999965)</f>
        <v>4289.9999999996498</v>
      </c>
      <c r="AD230" s="26">
        <f>HYPERLINK("[P Only with New retention and Differentiation.xlsx]'Coastal N Reductions'!BS2", 4289.99999999965)</f>
        <v>4289.9999999996498</v>
      </c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40">
        <f>HYPERLINK("[P Only Old retention.xlsx]'Coastal N Reductions'!BP2", 576.694)</f>
        <v>576.69399999999996</v>
      </c>
      <c r="BB230" s="40">
        <f>HYPERLINK("[P Only New retention.xlsx]'Coastal N Reductions'!BP2", 588.962)</f>
        <v>588.96199999999999</v>
      </c>
      <c r="BC230" s="40">
        <f>HYPERLINK("[P Only with New retention and Differentiation.xlsx]'Coastal N Reductions'!BP2", 553.658)</f>
        <v>553.65800000000002</v>
      </c>
      <c r="BD230" s="41">
        <f>BB230-BA230</f>
        <v>12.268000000000029</v>
      </c>
      <c r="BE230" s="42">
        <f>BC230-BA230</f>
        <v>-23.035999999999945</v>
      </c>
      <c r="BF230" s="26">
        <f>HYPERLINK("[P Only Old retention.xlsx]'Coastal N Reductions'!BT2", 3)</f>
        <v>3</v>
      </c>
      <c r="BG230" s="26">
        <f>HYPERLINK("[P Only New retention.xlsx]'Coastal N Reductions'!BT2", 3)</f>
        <v>3</v>
      </c>
      <c r="BH230" s="26">
        <f>HYPERLINK("[P Only with New retention and Differentiation.xlsx]'Coastal N Reductions'!BT2", 3)</f>
        <v>3</v>
      </c>
      <c r="BI230" s="18"/>
      <c r="BJ230" s="18"/>
    </row>
    <row r="231" spans="1:62" x14ac:dyDescent="0.55000000000000004">
      <c r="A231" s="31">
        <v>2</v>
      </c>
      <c r="B231" s="5" t="s">
        <v>155</v>
      </c>
      <c r="C231" s="43">
        <f>HYPERLINK("[P Only Old retention.xlsx]'Coastal N Reductions'!BD50", 1.62)</f>
        <v>1.62</v>
      </c>
      <c r="D231" s="13"/>
      <c r="E231" s="13"/>
      <c r="F231" s="42">
        <f>D231-C231</f>
        <v>-1.62</v>
      </c>
      <c r="G231" s="42">
        <f>E231-C231</f>
        <v>-1.62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43">
        <f>HYPERLINK("[P Only Old retention.xlsx]'Coastal N Reductions'!BF50", 5394.424)</f>
        <v>5394.424</v>
      </c>
      <c r="S231" s="43">
        <f>HYPERLINK("[P Only New retention.xlsx]'Coastal N Reductions'!BF50", 5388.004)</f>
        <v>5388.0039999999999</v>
      </c>
      <c r="T231" s="43">
        <f>HYPERLINK("[P Only with New retention and Differentiation.xlsx]'Coastal N Reductions'!BF50", 5368.444)</f>
        <v>5368.4440000000004</v>
      </c>
      <c r="U231" s="42">
        <f>S231-R231</f>
        <v>-6.4200000000000728</v>
      </c>
      <c r="V231" s="42">
        <f>T231-R231</f>
        <v>-25.979999999999563</v>
      </c>
      <c r="W231" s="13"/>
      <c r="X231" s="13"/>
      <c r="Y231" s="13"/>
      <c r="Z231" s="13"/>
      <c r="AA231" s="13"/>
      <c r="AB231" s="28">
        <f>HYPERLINK("[P Only Old retention.xlsx]'Coastal N Reductions'!BS50", 10369.9999999976)</f>
        <v>10369.999999997601</v>
      </c>
      <c r="AC231" s="28">
        <f>HYPERLINK("[P Only New retention.xlsx]'Coastal N Reductions'!BS50", 10339.9999999976)</f>
        <v>10339.999999997601</v>
      </c>
      <c r="AD231" s="28">
        <f>HYPERLINK("[P Only with New retention and Differentiation.xlsx]'Coastal N Reductions'!BS50", 10379.9999999976)</f>
        <v>10379.999999997601</v>
      </c>
      <c r="AE231" s="21">
        <f>AC231-AB231</f>
        <v>-30</v>
      </c>
      <c r="AF231" s="16">
        <f>AD231-AB231</f>
        <v>10</v>
      </c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43">
        <f>HYPERLINK("[P Only Old retention.xlsx]'Coastal N Reductions'!BP50", 571.09)</f>
        <v>571.09</v>
      </c>
      <c r="BB231" s="43">
        <f>HYPERLINK("[P Only New retention.xlsx]'Coastal N Reductions'!BP50", 654.068)</f>
        <v>654.06799999999998</v>
      </c>
      <c r="BC231" s="43">
        <f>HYPERLINK("[P Only with New retention and Differentiation.xlsx]'Coastal N Reductions'!BP50", 565.472)</f>
        <v>565.47199999999998</v>
      </c>
      <c r="BD231" s="41">
        <f>BB231-BA231</f>
        <v>82.977999999999952</v>
      </c>
      <c r="BE231" s="42">
        <f>BC231-BA231</f>
        <v>-5.6180000000000518</v>
      </c>
      <c r="BF231" s="28">
        <f>HYPERLINK("[P Only Old retention.xlsx]'Coastal N Reductions'!BT50", 4)</f>
        <v>4</v>
      </c>
      <c r="BG231" s="28">
        <f>HYPERLINK("[P Only New retention.xlsx]'Coastal N Reductions'!BT50", 4)</f>
        <v>4</v>
      </c>
      <c r="BH231" s="28">
        <f>HYPERLINK("[P Only with New retention and Differentiation.xlsx]'Coastal N Reductions'!BT50", 4)</f>
        <v>4</v>
      </c>
      <c r="BI231" s="13"/>
      <c r="BJ231" s="13"/>
    </row>
    <row r="232" spans="1:62" x14ac:dyDescent="0.55000000000000004">
      <c r="A232" s="30">
        <v>6</v>
      </c>
      <c r="B232" s="6" t="s">
        <v>156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40">
        <f>HYPERLINK("[P Only Old retention.xlsx]'Coastal N Reductions'!BF93", 429.742)</f>
        <v>429.74200000000002</v>
      </c>
      <c r="S232" s="40">
        <f>HYPERLINK("[P Only New retention.xlsx]'Coastal N Reductions'!BF93", 429.742)</f>
        <v>429.74200000000002</v>
      </c>
      <c r="T232" s="40">
        <f>HYPERLINK("[P Only with New retention and Differentiation.xlsx]'Coastal N Reductions'!BF93", 429.742)</f>
        <v>429.74200000000002</v>
      </c>
      <c r="U232" s="18"/>
      <c r="V232" s="18"/>
      <c r="W232" s="18"/>
      <c r="X232" s="18"/>
      <c r="Y232" s="18"/>
      <c r="Z232" s="18"/>
      <c r="AA232" s="18"/>
      <c r="AB232" s="26">
        <f>HYPERLINK("[P Only Old retention.xlsx]'Coastal N Reductions'!BS93", 499.999999999973)</f>
        <v>499.999999999973</v>
      </c>
      <c r="AC232" s="26">
        <f>HYPERLINK("[P Only New retention.xlsx]'Coastal N Reductions'!BS93", 499.999999999973)</f>
        <v>499.999999999973</v>
      </c>
      <c r="AD232" s="26">
        <f>HYPERLINK("[P Only with New retention and Differentiation.xlsx]'Coastal N Reductions'!BS93", 499.999999999973)</f>
        <v>499.999999999973</v>
      </c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40">
        <f>HYPERLINK("[P Only Old retention.xlsx]'Coastal N Reductions'!BP93", 45.032)</f>
        <v>45.031999999999996</v>
      </c>
      <c r="BB232" s="40">
        <f>HYPERLINK("[P Only New retention.xlsx]'Coastal N Reductions'!BP93", 45.032)</f>
        <v>45.031999999999996</v>
      </c>
      <c r="BC232" s="40">
        <f>HYPERLINK("[P Only with New retention and Differentiation.xlsx]'Coastal N Reductions'!BP93", 45.032)</f>
        <v>45.031999999999996</v>
      </c>
      <c r="BD232" s="18"/>
      <c r="BE232" s="18"/>
      <c r="BF232" s="18"/>
      <c r="BG232" s="18"/>
      <c r="BH232" s="18"/>
      <c r="BI232" s="18"/>
      <c r="BJ232" s="18"/>
    </row>
    <row r="233" spans="1:62" x14ac:dyDescent="0.55000000000000004">
      <c r="A233" s="31">
        <v>16</v>
      </c>
      <c r="B233" s="5" t="s">
        <v>157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43">
        <f>HYPERLINK("[P Only Old retention.xlsx]'Coastal N Reductions'!BF45", 12.22)</f>
        <v>12.22</v>
      </c>
      <c r="S233" s="43">
        <f>HYPERLINK("[P Only New retention.xlsx]'Coastal N Reductions'!BF45", 12.22)</f>
        <v>12.22</v>
      </c>
      <c r="T233" s="43">
        <f>HYPERLINK("[P Only with New retention and Differentiation.xlsx]'Coastal N Reductions'!BF45", 12.22)</f>
        <v>12.22</v>
      </c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</row>
    <row r="234" spans="1:62" x14ac:dyDescent="0.55000000000000004">
      <c r="A234" s="30">
        <v>17</v>
      </c>
      <c r="B234" s="6" t="s">
        <v>158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</row>
    <row r="235" spans="1:62" x14ac:dyDescent="0.55000000000000004">
      <c r="A235" s="31">
        <v>18</v>
      </c>
      <c r="B235" s="5" t="s">
        <v>159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</row>
    <row r="236" spans="1:62" x14ac:dyDescent="0.55000000000000004">
      <c r="A236" s="30">
        <v>24</v>
      </c>
      <c r="B236" s="6" t="s">
        <v>160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</row>
    <row r="237" spans="1:62" x14ac:dyDescent="0.55000000000000004">
      <c r="A237" s="31">
        <v>25</v>
      </c>
      <c r="B237" s="5" t="s">
        <v>161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43">
        <f>HYPERLINK("[P Only Old retention.xlsx]'Coastal N Reductions'!BF76", 32.41)</f>
        <v>32.409999999999997</v>
      </c>
      <c r="S237" s="43">
        <f>HYPERLINK("[P Only New retention.xlsx]'Coastal N Reductions'!BF76", 32.41)</f>
        <v>32.409999999999997</v>
      </c>
      <c r="T237" s="43">
        <f>HYPERLINK("[P Only with New retention and Differentiation.xlsx]'Coastal N Reductions'!BF76", 32.41)</f>
        <v>32.409999999999997</v>
      </c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</row>
    <row r="238" spans="1:62" x14ac:dyDescent="0.55000000000000004">
      <c r="A238" s="30">
        <v>28</v>
      </c>
      <c r="B238" s="6" t="s">
        <v>162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40">
        <f>HYPERLINK("[P Only Old retention.xlsx]'Coastal N Reductions'!BF77", 104.024)</f>
        <v>104.024</v>
      </c>
      <c r="S238" s="40">
        <f>HYPERLINK("[P Only New retention.xlsx]'Coastal N Reductions'!BF77", 104.024)</f>
        <v>104.024</v>
      </c>
      <c r="T238" s="40">
        <f>HYPERLINK("[P Only with New retention and Differentiation.xlsx]'Coastal N Reductions'!BF77", 104.024)</f>
        <v>104.024</v>
      </c>
      <c r="U238" s="18"/>
      <c r="V238" s="18"/>
      <c r="W238" s="18"/>
      <c r="X238" s="18"/>
      <c r="Y238" s="18"/>
      <c r="Z238" s="18"/>
      <c r="AA238" s="18"/>
      <c r="AB238" s="26">
        <f>HYPERLINK("[P Only Old retention.xlsx]'Coastal N Reductions'!BS77", 90)</f>
        <v>90</v>
      </c>
      <c r="AC238" s="26">
        <f>HYPERLINK("[P Only New retention.xlsx]'Coastal N Reductions'!BS77", 90)</f>
        <v>90</v>
      </c>
      <c r="AD238" s="26">
        <f>HYPERLINK("[P Only with New retention and Differentiation.xlsx]'Coastal N Reductions'!BS77", 90)</f>
        <v>90</v>
      </c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40">
        <f>HYPERLINK("[P Only Old retention.xlsx]'Coastal N Reductions'!BP77", 11.34)</f>
        <v>11.34</v>
      </c>
      <c r="BB238" s="40">
        <f>HYPERLINK("[P Only New retention.xlsx]'Coastal N Reductions'!BP77", 9.484)</f>
        <v>9.484</v>
      </c>
      <c r="BC238" s="40">
        <f>HYPERLINK("[P Only with New retention and Differentiation.xlsx]'Coastal N Reductions'!BP77", 11.414)</f>
        <v>11.414</v>
      </c>
      <c r="BD238" s="42">
        <f>BB238-BA238</f>
        <v>-1.8559999999999999</v>
      </c>
      <c r="BE238" s="41">
        <f>BC238-BA238</f>
        <v>7.3999999999999844E-2</v>
      </c>
      <c r="BF238" s="18"/>
      <c r="BG238" s="18"/>
      <c r="BH238" s="18"/>
      <c r="BI238" s="18"/>
      <c r="BJ238" s="18"/>
    </row>
    <row r="239" spans="1:62" x14ac:dyDescent="0.55000000000000004">
      <c r="A239" s="31">
        <v>29</v>
      </c>
      <c r="B239" s="5" t="s">
        <v>163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</row>
    <row r="240" spans="1:62" x14ac:dyDescent="0.55000000000000004">
      <c r="A240" s="30">
        <v>34</v>
      </c>
      <c r="B240" s="6" t="s">
        <v>164</v>
      </c>
      <c r="C240" s="40">
        <f>HYPERLINK("[P Only Old retention.xlsx]'Coastal N Reductions'!BD79", 92.18)</f>
        <v>92.18</v>
      </c>
      <c r="D240" s="40">
        <f>HYPERLINK("[P Only New retention.xlsx]'Coastal N Reductions'!BD79", 81.06)</f>
        <v>81.06</v>
      </c>
      <c r="E240" s="18"/>
      <c r="F240" s="42">
        <f>D240-C240</f>
        <v>-11.120000000000005</v>
      </c>
      <c r="G240" s="42">
        <f>E240-C240</f>
        <v>-92.18</v>
      </c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40">
        <f>HYPERLINK("[P Only New retention.xlsx]'Coastal N Reductions'!BF79", 11.12)</f>
        <v>11.12</v>
      </c>
      <c r="T240" s="18"/>
      <c r="U240" s="41">
        <f>S240-R240</f>
        <v>11.12</v>
      </c>
      <c r="V240" s="18"/>
      <c r="W240" s="18"/>
      <c r="X240" s="18"/>
      <c r="Y240" s="18"/>
      <c r="Z240" s="18"/>
      <c r="AA240" s="18"/>
      <c r="AB240" s="26">
        <f>HYPERLINK("[P Only Old retention.xlsx]'Coastal N Reductions'!BS79", 50)</f>
        <v>50</v>
      </c>
      <c r="AC240" s="26">
        <f>HYPERLINK("[P Only New retention.xlsx]'Coastal N Reductions'!BS79", 50)</f>
        <v>50</v>
      </c>
      <c r="AD240" s="26">
        <f>HYPERLINK("[P Only with New retention and Differentiation.xlsx]'Coastal N Reductions'!BS79", 50)</f>
        <v>50</v>
      </c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40">
        <f>HYPERLINK("[P Only Old retention.xlsx]'Coastal N Reductions'!BP79", 1.598)</f>
        <v>1.5980000000000001</v>
      </c>
      <c r="BB240" s="40">
        <f>HYPERLINK("[P Only New retention.xlsx]'Coastal N Reductions'!BP79", 1.624)</f>
        <v>1.6240000000000001</v>
      </c>
      <c r="BC240" s="40">
        <f>HYPERLINK("[P Only with New retention and Differentiation.xlsx]'Coastal N Reductions'!BP79", 3.704)</f>
        <v>3.7040000000000002</v>
      </c>
      <c r="BD240" s="41">
        <f>BB240-BA240</f>
        <v>2.6000000000000023E-2</v>
      </c>
      <c r="BE240" s="41">
        <f>BC240-BA240</f>
        <v>2.1059999999999999</v>
      </c>
      <c r="BF240" s="18"/>
      <c r="BG240" s="18"/>
      <c r="BH240" s="18"/>
      <c r="BI240" s="18"/>
      <c r="BJ240" s="18"/>
    </row>
    <row r="241" spans="1:62" x14ac:dyDescent="0.55000000000000004">
      <c r="A241" s="31">
        <v>35</v>
      </c>
      <c r="B241" s="5" t="s">
        <v>165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43">
        <f>HYPERLINK("[P Only Old retention.xlsx]'Coastal N Reductions'!BF80", 489.652)</f>
        <v>489.65199999999999</v>
      </c>
      <c r="S241" s="43">
        <f>HYPERLINK("[P Only New retention.xlsx]'Coastal N Reductions'!BF80", 479.452)</f>
        <v>479.452</v>
      </c>
      <c r="T241" s="43">
        <f>HYPERLINK("[P Only with New retention and Differentiation.xlsx]'Coastal N Reductions'!BF80", 489.652)</f>
        <v>489.65199999999999</v>
      </c>
      <c r="U241" s="42">
        <f>S241-R241</f>
        <v>-10.199999999999989</v>
      </c>
      <c r="V241" s="13"/>
      <c r="W241" s="13"/>
      <c r="X241" s="13"/>
      <c r="Y241" s="13"/>
      <c r="Z241" s="13"/>
      <c r="AA241" s="13"/>
      <c r="AB241" s="28">
        <f>HYPERLINK("[P Only Old retention.xlsx]'Coastal N Reductions'!BS80", 679.999999999958)</f>
        <v>679.99999999995805</v>
      </c>
      <c r="AC241" s="28">
        <f>HYPERLINK("[P Only New retention.xlsx]'Coastal N Reductions'!BS80", 679.999999999958)</f>
        <v>679.99999999995805</v>
      </c>
      <c r="AD241" s="28">
        <f>HYPERLINK("[P Only with New retention and Differentiation.xlsx]'Coastal N Reductions'!BS80", 679.999999999958)</f>
        <v>679.99999999995805</v>
      </c>
      <c r="AE241" s="13"/>
      <c r="AF241" s="13"/>
      <c r="AG241" s="43">
        <f>HYPERLINK("[P Only Old retention.xlsx]'Coastal N Reductions'!BH80", 0.41)</f>
        <v>0.41</v>
      </c>
      <c r="AH241" s="43">
        <f>HYPERLINK("[P Only New retention.xlsx]'Coastal N Reductions'!BH80", 0.41)</f>
        <v>0.41</v>
      </c>
      <c r="AI241" s="43">
        <f>HYPERLINK("[P Only with New retention and Differentiation.xlsx]'Coastal N Reductions'!BH80", 0.41)</f>
        <v>0.41</v>
      </c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43">
        <f>HYPERLINK("[P Only Old retention.xlsx]'Coastal N Reductions'!BP80", 39.684)</f>
        <v>39.683999999999997</v>
      </c>
      <c r="BB241" s="43">
        <f>HYPERLINK("[P Only New retention.xlsx]'Coastal N Reductions'!BP80", 43.57)</f>
        <v>43.57</v>
      </c>
      <c r="BC241" s="43">
        <f>HYPERLINK("[P Only with New retention and Differentiation.xlsx]'Coastal N Reductions'!BP80", 21.676)</f>
        <v>21.675999999999998</v>
      </c>
      <c r="BD241" s="41">
        <f>BB241-BA241</f>
        <v>3.8860000000000028</v>
      </c>
      <c r="BE241" s="42">
        <f>BC241-BA241</f>
        <v>-18.007999999999999</v>
      </c>
      <c r="BF241" s="13"/>
      <c r="BG241" s="13"/>
      <c r="BH241" s="13"/>
      <c r="BI241" s="13"/>
      <c r="BJ241" s="13"/>
    </row>
    <row r="242" spans="1:62" x14ac:dyDescent="0.55000000000000004">
      <c r="A242" s="30">
        <v>36</v>
      </c>
      <c r="B242" s="6" t="s">
        <v>166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</row>
    <row r="243" spans="1:62" x14ac:dyDescent="0.55000000000000004">
      <c r="A243" s="31">
        <v>37</v>
      </c>
      <c r="B243" s="5" t="s">
        <v>167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</row>
    <row r="244" spans="1:62" x14ac:dyDescent="0.55000000000000004">
      <c r="A244" s="30">
        <v>38</v>
      </c>
      <c r="B244" s="6" t="s">
        <v>168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</row>
    <row r="245" spans="1:62" x14ac:dyDescent="0.55000000000000004">
      <c r="A245" s="31">
        <v>44</v>
      </c>
      <c r="B245" s="5" t="s">
        <v>169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</row>
    <row r="246" spans="1:62" x14ac:dyDescent="0.55000000000000004">
      <c r="A246" s="30">
        <v>45</v>
      </c>
      <c r="B246" s="6" t="s">
        <v>170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</row>
    <row r="247" spans="1:62" x14ac:dyDescent="0.55000000000000004">
      <c r="A247" s="31">
        <v>46</v>
      </c>
      <c r="B247" s="5" t="s">
        <v>171</v>
      </c>
      <c r="C247" s="43">
        <f>HYPERLINK("[P Only Old retention.xlsx]'Coastal N Reductions'!BD86", 5.27)</f>
        <v>5.27</v>
      </c>
      <c r="D247" s="43">
        <f>HYPERLINK("[P Only New retention.xlsx]'Coastal N Reductions'!BD86", 5.27)</f>
        <v>5.27</v>
      </c>
      <c r="E247" s="43">
        <f>HYPERLINK("[P Only with New retention and Differentiation.xlsx]'Coastal N Reductions'!BD86", 5.27)</f>
        <v>5.27</v>
      </c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</row>
    <row r="248" spans="1:62" x14ac:dyDescent="0.55000000000000004">
      <c r="A248" s="30">
        <v>47</v>
      </c>
      <c r="B248" s="6" t="s">
        <v>172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40">
        <f>HYPERLINK("[P Only Old retention.xlsx]'Coastal N Reductions'!BF87", 70.186)</f>
        <v>70.186000000000007</v>
      </c>
      <c r="S248" s="40">
        <f>HYPERLINK("[P Only New retention.xlsx]'Coastal N Reductions'!BF87", 70.186)</f>
        <v>70.186000000000007</v>
      </c>
      <c r="T248" s="40">
        <f>HYPERLINK("[P Only with New retention and Differentiation.xlsx]'Coastal N Reductions'!BF87", 70.186)</f>
        <v>70.186000000000007</v>
      </c>
      <c r="U248" s="18"/>
      <c r="V248" s="18"/>
      <c r="W248" s="18"/>
      <c r="X248" s="18"/>
      <c r="Y248" s="18"/>
      <c r="Z248" s="18"/>
      <c r="AA248" s="18"/>
      <c r="AB248" s="26">
        <f>HYPERLINK("[P Only Old retention.xlsx]'Coastal N Reductions'!BS87", 250)</f>
        <v>250</v>
      </c>
      <c r="AC248" s="26">
        <f>HYPERLINK("[P Only New retention.xlsx]'Coastal N Reductions'!BS87", 250)</f>
        <v>250</v>
      </c>
      <c r="AD248" s="26">
        <f>HYPERLINK("[P Only with New retention and Differentiation.xlsx]'Coastal N Reductions'!BS87", 250)</f>
        <v>250</v>
      </c>
      <c r="AE248" s="21">
        <f>AC248-AB248</f>
        <v>0</v>
      </c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40">
        <f>HYPERLINK("[P Only Old retention.xlsx]'Coastal N Reductions'!BP87", 2.898)</f>
        <v>2.8980000000000001</v>
      </c>
      <c r="BB248" s="40">
        <f>HYPERLINK("[P Only New retention.xlsx]'Coastal N Reductions'!BP87", 3.034)</f>
        <v>3.0339999999999998</v>
      </c>
      <c r="BC248" s="40">
        <f>HYPERLINK("[P Only with New retention and Differentiation.xlsx]'Coastal N Reductions'!BP87", 1.934)</f>
        <v>1.9339999999999999</v>
      </c>
      <c r="BD248" s="41">
        <f>BB248-BA248</f>
        <v>0.13599999999999968</v>
      </c>
      <c r="BE248" s="42">
        <f>BC248-BA248</f>
        <v>-0.96400000000000019</v>
      </c>
      <c r="BF248" s="18"/>
      <c r="BG248" s="18"/>
      <c r="BH248" s="18"/>
      <c r="BI248" s="18"/>
      <c r="BJ248" s="18"/>
    </row>
    <row r="249" spans="1:62" x14ac:dyDescent="0.55000000000000004">
      <c r="A249" s="31">
        <v>48</v>
      </c>
      <c r="B249" s="5" t="s">
        <v>173</v>
      </c>
      <c r="C249" s="43">
        <f>HYPERLINK("[P Only Old retention.xlsx]'Coastal N Reductions'!BD88", 273.35)</f>
        <v>273.35000000000002</v>
      </c>
      <c r="D249" s="43">
        <f>HYPERLINK("[P Only New retention.xlsx]'Coastal N Reductions'!BD88", 273.35)</f>
        <v>273.35000000000002</v>
      </c>
      <c r="E249" s="43">
        <f>HYPERLINK("[P Only with New retention and Differentiation.xlsx]'Coastal N Reductions'!BD88", 273.35)</f>
        <v>273.35000000000002</v>
      </c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43">
        <f>HYPERLINK("[P Only Old retention.xlsx]'Coastal N Reductions'!BF88", 8.74)</f>
        <v>8.74</v>
      </c>
      <c r="S249" s="43">
        <f>HYPERLINK("[P Only New retention.xlsx]'Coastal N Reductions'!BF88", 8.74)</f>
        <v>8.74</v>
      </c>
      <c r="T249" s="43">
        <f>HYPERLINK("[P Only with New retention and Differentiation.xlsx]'Coastal N Reductions'!BF88", 8.74)</f>
        <v>8.74</v>
      </c>
      <c r="U249" s="13"/>
      <c r="V249" s="13"/>
      <c r="W249" s="13"/>
      <c r="X249" s="13"/>
      <c r="Y249" s="13"/>
      <c r="Z249" s="13"/>
      <c r="AA249" s="13"/>
      <c r="AB249" s="28">
        <f>HYPERLINK("[P Only Old retention.xlsx]'Coastal N Reductions'!BS88", 150)</f>
        <v>150</v>
      </c>
      <c r="AC249" s="28">
        <f>HYPERLINK("[P Only New retention.xlsx]'Coastal N Reductions'!BS88", 150)</f>
        <v>150</v>
      </c>
      <c r="AD249" s="28">
        <f>HYPERLINK("[P Only with New retention and Differentiation.xlsx]'Coastal N Reductions'!BS88", 150)</f>
        <v>150</v>
      </c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</row>
    <row r="250" spans="1:62" x14ac:dyDescent="0.55000000000000004">
      <c r="A250" s="30">
        <v>49</v>
      </c>
      <c r="B250" s="6" t="s">
        <v>174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</row>
    <row r="251" spans="1:62" x14ac:dyDescent="0.55000000000000004">
      <c r="A251" s="31">
        <v>56</v>
      </c>
      <c r="B251" s="5" t="s">
        <v>175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43">
        <f>HYPERLINK("[P Only Old retention.xlsx]'Coastal N Reductions'!BF90", 48.34)</f>
        <v>48.34</v>
      </c>
      <c r="S251" s="43">
        <f>HYPERLINK("[P Only New retention.xlsx]'Coastal N Reductions'!BF90", 48.34)</f>
        <v>48.34</v>
      </c>
      <c r="T251" s="43">
        <f>HYPERLINK("[P Only with New retention and Differentiation.xlsx]'Coastal N Reductions'!BF90", 48.34)</f>
        <v>48.34</v>
      </c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</row>
    <row r="252" spans="1:62" x14ac:dyDescent="0.55000000000000004">
      <c r="A252" s="30">
        <v>57</v>
      </c>
      <c r="B252" s="6" t="s">
        <v>176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</row>
    <row r="253" spans="1:62" x14ac:dyDescent="0.55000000000000004">
      <c r="A253" s="31">
        <v>59</v>
      </c>
      <c r="B253" s="5" t="s">
        <v>177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</row>
    <row r="254" spans="1:62" x14ac:dyDescent="0.55000000000000004">
      <c r="A254" s="30">
        <v>62</v>
      </c>
      <c r="B254" s="6" t="s">
        <v>178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</row>
    <row r="255" spans="1:62" x14ac:dyDescent="0.55000000000000004">
      <c r="A255" s="31">
        <v>68</v>
      </c>
      <c r="B255" s="5" t="s">
        <v>179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</row>
    <row r="256" spans="1:62" x14ac:dyDescent="0.55000000000000004">
      <c r="A256" s="30">
        <v>72</v>
      </c>
      <c r="B256" s="6" t="s">
        <v>180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</row>
    <row r="257" spans="1:62" x14ac:dyDescent="0.55000000000000004">
      <c r="A257" s="31">
        <v>74</v>
      </c>
      <c r="B257" s="5" t="s">
        <v>181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</row>
    <row r="258" spans="1:62" x14ac:dyDescent="0.55000000000000004">
      <c r="A258" s="30">
        <v>80</v>
      </c>
      <c r="B258" s="6" t="s">
        <v>182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</row>
    <row r="259" spans="1:62" x14ac:dyDescent="0.55000000000000004">
      <c r="A259" s="31">
        <v>82</v>
      </c>
      <c r="B259" s="5" t="s">
        <v>183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</row>
    <row r="260" spans="1:62" x14ac:dyDescent="0.55000000000000004">
      <c r="A260" s="30">
        <v>83</v>
      </c>
      <c r="B260" s="6" t="s">
        <v>184</v>
      </c>
      <c r="C260" s="40">
        <f>HYPERLINK("[P Only Old retention.xlsx]'Coastal N Reductions'!BD100", 74.3)</f>
        <v>74.3</v>
      </c>
      <c r="D260" s="40">
        <f>HYPERLINK("[P Only New retention.xlsx]'Coastal N Reductions'!BD100", 74.3)</f>
        <v>74.3</v>
      </c>
      <c r="E260" s="40">
        <f>HYPERLINK("[P Only with New retention and Differentiation.xlsx]'Coastal N Reductions'!BD100", 74.79)</f>
        <v>74.790000000000006</v>
      </c>
      <c r="F260" s="18"/>
      <c r="G260" s="41">
        <f>E260-C260</f>
        <v>0.49000000000000909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40">
        <f>HYPERLINK("[P Only Old retention.xlsx]'Coastal N Reductions'!BF100", 30.424)</f>
        <v>30.423999999999999</v>
      </c>
      <c r="S260" s="40">
        <f>HYPERLINK("[P Only New retention.xlsx]'Coastal N Reductions'!BF100", 30.424)</f>
        <v>30.423999999999999</v>
      </c>
      <c r="T260" s="40">
        <f>HYPERLINK("[P Only with New retention and Differentiation.xlsx]'Coastal N Reductions'!BF100", 29.934)</f>
        <v>29.934000000000001</v>
      </c>
      <c r="U260" s="18"/>
      <c r="V260" s="42">
        <f>T260-R260</f>
        <v>-0.48999999999999844</v>
      </c>
      <c r="W260" s="18"/>
      <c r="X260" s="18"/>
      <c r="Y260" s="18"/>
      <c r="Z260" s="18"/>
      <c r="AA260" s="18"/>
      <c r="AB260" s="26">
        <f>HYPERLINK("[P Only Old retention.xlsx]'Coastal N Reductions'!BS100", 320)</f>
        <v>320</v>
      </c>
      <c r="AC260" s="26">
        <f>HYPERLINK("[P Only New retention.xlsx]'Coastal N Reductions'!BS100", 320)</f>
        <v>320</v>
      </c>
      <c r="AD260" s="26">
        <f>HYPERLINK("[P Only with New retention and Differentiation.xlsx]'Coastal N Reductions'!BS100", 320)</f>
        <v>320</v>
      </c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40">
        <f>HYPERLINK("[P Only Old retention.xlsx]'Coastal N Reductions'!BP100", 29.272)</f>
        <v>29.271999999999998</v>
      </c>
      <c r="BB260" s="40">
        <f>HYPERLINK("[P Only New retention.xlsx]'Coastal N Reductions'!BP100", 16.26)</f>
        <v>16.260000000000002</v>
      </c>
      <c r="BC260" s="40">
        <f>HYPERLINK("[P Only with New retention and Differentiation.xlsx]'Coastal N Reductions'!BP100", 0.94)</f>
        <v>0.94</v>
      </c>
      <c r="BD260" s="42">
        <f>BB260-BA260</f>
        <v>-13.011999999999997</v>
      </c>
      <c r="BE260" s="42">
        <f>BC260-BA260</f>
        <v>-28.331999999999997</v>
      </c>
      <c r="BF260" s="18"/>
      <c r="BG260" s="18"/>
      <c r="BH260" s="18"/>
      <c r="BI260" s="18"/>
      <c r="BJ260" s="18"/>
    </row>
    <row r="261" spans="1:62" x14ac:dyDescent="0.55000000000000004">
      <c r="A261" s="31">
        <v>84</v>
      </c>
      <c r="B261" s="5" t="s">
        <v>185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</row>
    <row r="262" spans="1:62" x14ac:dyDescent="0.55000000000000004">
      <c r="A262" s="30">
        <v>85</v>
      </c>
      <c r="B262" s="6" t="s">
        <v>186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</row>
    <row r="263" spans="1:62" x14ac:dyDescent="0.55000000000000004">
      <c r="A263" s="31">
        <v>86</v>
      </c>
      <c r="B263" s="5" t="s">
        <v>187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43">
        <f>HYPERLINK("[P Only Old retention.xlsx]'Coastal N Reductions'!BF103", 49.392)</f>
        <v>49.392000000000003</v>
      </c>
      <c r="S263" s="43">
        <f>HYPERLINK("[P Only New retention.xlsx]'Coastal N Reductions'!BF103", 49.392)</f>
        <v>49.392000000000003</v>
      </c>
      <c r="T263" s="43">
        <f>HYPERLINK("[P Only with New retention and Differentiation.xlsx]'Coastal N Reductions'!BF103", 49.392)</f>
        <v>49.392000000000003</v>
      </c>
      <c r="U263" s="13"/>
      <c r="V263" s="13"/>
      <c r="W263" s="13"/>
      <c r="X263" s="13"/>
      <c r="Y263" s="13"/>
      <c r="Z263" s="13"/>
      <c r="AA263" s="13"/>
      <c r="AB263" s="28">
        <f>HYPERLINK("[P Only Old retention.xlsx]'Coastal N Reductions'!BS103", 60)</f>
        <v>60</v>
      </c>
      <c r="AC263" s="28">
        <f>HYPERLINK("[P Only New retention.xlsx]'Coastal N Reductions'!BS103", 60)</f>
        <v>60</v>
      </c>
      <c r="AD263" s="28">
        <f>HYPERLINK("[P Only with New retention and Differentiation.xlsx]'Coastal N Reductions'!BS103", 60)</f>
        <v>60</v>
      </c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</row>
    <row r="264" spans="1:62" x14ac:dyDescent="0.55000000000000004">
      <c r="A264" s="30">
        <v>87</v>
      </c>
      <c r="B264" s="6" t="s">
        <v>188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40">
        <f>HYPERLINK("[P Only Old retention.xlsx]'Coastal N Reductions'!BP104", 0.26)</f>
        <v>0.26</v>
      </c>
      <c r="BB264" s="40">
        <f>HYPERLINK("[P Only New retention.xlsx]'Coastal N Reductions'!BP104", 0.26)</f>
        <v>0.26</v>
      </c>
      <c r="BC264" s="18"/>
      <c r="BD264" s="18"/>
      <c r="BE264" s="42">
        <f>BC264-BA264</f>
        <v>-0.26</v>
      </c>
      <c r="BF264" s="18"/>
      <c r="BG264" s="18"/>
      <c r="BH264" s="18"/>
      <c r="BI264" s="18"/>
      <c r="BJ264" s="18"/>
    </row>
    <row r="265" spans="1:62" x14ac:dyDescent="0.55000000000000004">
      <c r="A265" s="31">
        <v>89</v>
      </c>
      <c r="B265" s="5" t="s">
        <v>189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</row>
    <row r="266" spans="1:62" x14ac:dyDescent="0.55000000000000004">
      <c r="A266" s="30">
        <v>90</v>
      </c>
      <c r="B266" s="6" t="s">
        <v>190</v>
      </c>
      <c r="C266" s="40">
        <f>HYPERLINK("[P Only Old retention.xlsx]'Coastal N Reductions'!BD106", 9.01)</f>
        <v>9.01</v>
      </c>
      <c r="D266" s="40">
        <f>HYPERLINK("[P Only New retention.xlsx]'Coastal N Reductions'!BD106", 9.01)</f>
        <v>9.01</v>
      </c>
      <c r="E266" s="40">
        <f>HYPERLINK("[P Only with New retention and Differentiation.xlsx]'Coastal N Reductions'!BD106", 9.01)</f>
        <v>9.01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</row>
    <row r="267" spans="1:62" x14ac:dyDescent="0.55000000000000004">
      <c r="A267" s="31">
        <v>92</v>
      </c>
      <c r="B267" s="5" t="s">
        <v>191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</row>
    <row r="268" spans="1:62" x14ac:dyDescent="0.55000000000000004">
      <c r="A268" s="30">
        <v>93</v>
      </c>
      <c r="B268" s="6" t="s">
        <v>192</v>
      </c>
      <c r="C268" s="40">
        <f>HYPERLINK("[P Only Old retention.xlsx]'Coastal N Reductions'!BD108", 179.72)</f>
        <v>179.72</v>
      </c>
      <c r="D268" s="40">
        <f>HYPERLINK("[P Only New retention.xlsx]'Coastal N Reductions'!BD108", 179.72)</f>
        <v>179.72</v>
      </c>
      <c r="E268" s="40">
        <f>HYPERLINK("[P Only with New retention and Differentiation.xlsx]'Coastal N Reductions'!BD108", 179.72)</f>
        <v>179.72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40">
        <f>HYPERLINK("[P Only Old retention.xlsx]'Coastal N Reductions'!BF108", 30.478)</f>
        <v>30.478000000000002</v>
      </c>
      <c r="S268" s="40">
        <f>HYPERLINK("[P Only New retention.xlsx]'Coastal N Reductions'!BF108", 30.478)</f>
        <v>30.478000000000002</v>
      </c>
      <c r="T268" s="40">
        <f>HYPERLINK("[P Only with New retention and Differentiation.xlsx]'Coastal N Reductions'!BF108", 30.478)</f>
        <v>30.478000000000002</v>
      </c>
      <c r="U268" s="18"/>
      <c r="V268" s="18"/>
      <c r="W268" s="18"/>
      <c r="X268" s="18"/>
      <c r="Y268" s="18"/>
      <c r="Z268" s="18"/>
      <c r="AA268" s="18"/>
      <c r="AB268" s="26">
        <f>HYPERLINK("[P Only Old retention.xlsx]'Coastal N Reductions'!BS108", 279.999999999985)</f>
        <v>279.99999999998499</v>
      </c>
      <c r="AC268" s="26">
        <f>HYPERLINK("[P Only New retention.xlsx]'Coastal N Reductions'!BS108", 279.999999999985)</f>
        <v>279.99999999998499</v>
      </c>
      <c r="AD268" s="26">
        <f>HYPERLINK("[P Only with New retention and Differentiation.xlsx]'Coastal N Reductions'!BS108", 279.999999999985)</f>
        <v>279.99999999998499</v>
      </c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40">
        <f>HYPERLINK("[P Only Old retention.xlsx]'Coastal N Reductions'!BP108", 62.89)</f>
        <v>62.89</v>
      </c>
      <c r="BB268" s="40">
        <f>HYPERLINK("[P Only New retention.xlsx]'Coastal N Reductions'!BP108", 63.792)</f>
        <v>63.792000000000002</v>
      </c>
      <c r="BC268" s="40">
        <f>HYPERLINK("[P Only with New retention and Differentiation.xlsx]'Coastal N Reductions'!BP108", 7.488)</f>
        <v>7.4880000000000004</v>
      </c>
      <c r="BD268" s="41">
        <f>BB268-BA268</f>
        <v>0.90200000000000102</v>
      </c>
      <c r="BE268" s="42">
        <f>BC268-BA268</f>
        <v>-55.402000000000001</v>
      </c>
      <c r="BF268" s="26">
        <f>HYPERLINK("[P Only Old retention.xlsx]'Coastal N Reductions'!BT108", 1)</f>
        <v>1</v>
      </c>
      <c r="BG268" s="26">
        <f>HYPERLINK("[P Only New retention.xlsx]'Coastal N Reductions'!BT108", 1)</f>
        <v>1</v>
      </c>
      <c r="BH268" s="26">
        <f>HYPERLINK("[P Only with New retention and Differentiation.xlsx]'Coastal N Reductions'!BT108", 1)</f>
        <v>1</v>
      </c>
      <c r="BI268" s="18"/>
      <c r="BJ268" s="18"/>
    </row>
    <row r="269" spans="1:62" x14ac:dyDescent="0.55000000000000004">
      <c r="A269" s="31">
        <v>95</v>
      </c>
      <c r="B269" s="5" t="s">
        <v>193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</row>
    <row r="270" spans="1:62" x14ac:dyDescent="0.55000000000000004">
      <c r="A270" s="30">
        <v>96</v>
      </c>
      <c r="B270" s="6" t="s">
        <v>194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</row>
    <row r="271" spans="1:62" x14ac:dyDescent="0.55000000000000004">
      <c r="A271" s="31">
        <v>101</v>
      </c>
      <c r="B271" s="5" t="s">
        <v>195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</row>
    <row r="272" spans="1:62" x14ac:dyDescent="0.55000000000000004">
      <c r="A272" s="30">
        <v>102</v>
      </c>
      <c r="B272" s="6" t="s">
        <v>196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</row>
    <row r="273" spans="1:62" x14ac:dyDescent="0.55000000000000004">
      <c r="A273" s="31">
        <v>103</v>
      </c>
      <c r="B273" s="5" t="s">
        <v>197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</row>
    <row r="274" spans="1:62" x14ac:dyDescent="0.55000000000000004">
      <c r="A274" s="30">
        <v>104</v>
      </c>
      <c r="B274" s="6" t="s">
        <v>198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26">
        <f>HYPERLINK("[P Only Old retention.xlsx]'Coastal N Reductions'!BS6", 600)</f>
        <v>600</v>
      </c>
      <c r="AC274" s="26">
        <f>HYPERLINK("[P Only New retention.xlsx]'Coastal N Reductions'!BS6", 600)</f>
        <v>600</v>
      </c>
      <c r="AD274" s="26">
        <f>HYPERLINK("[P Only with New retention and Differentiation.xlsx]'Coastal N Reductions'!BS6", 600)</f>
        <v>600</v>
      </c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40">
        <f>HYPERLINK("[P Only Old retention.xlsx]'Coastal N Reductions'!BP6", 99.7)</f>
        <v>99.7</v>
      </c>
      <c r="BB274" s="40">
        <f>HYPERLINK("[P Only New retention.xlsx]'Coastal N Reductions'!BP6", 86.34)</f>
        <v>86.34</v>
      </c>
      <c r="BC274" s="40">
        <f>HYPERLINK("[P Only with New retention and Differentiation.xlsx]'Coastal N Reductions'!BP6", 60.63)</f>
        <v>60.63</v>
      </c>
      <c r="BD274" s="42">
        <f>BB274-BA274</f>
        <v>-13.36</v>
      </c>
      <c r="BE274" s="42">
        <f>BC274-BA274</f>
        <v>-39.07</v>
      </c>
      <c r="BF274" s="18"/>
      <c r="BG274" s="18"/>
      <c r="BH274" s="18"/>
      <c r="BI274" s="18"/>
      <c r="BJ274" s="18"/>
    </row>
    <row r="275" spans="1:62" x14ac:dyDescent="0.55000000000000004">
      <c r="A275" s="31">
        <v>105</v>
      </c>
      <c r="B275" s="5" t="s">
        <v>199</v>
      </c>
      <c r="C275" s="43">
        <f>HYPERLINK("[P Only Old retention.xlsx]'Coastal N Reductions'!BD7", 4.69)</f>
        <v>4.6900000000000004</v>
      </c>
      <c r="D275" s="13"/>
      <c r="E275" s="13"/>
      <c r="F275" s="42">
        <f>D275-C275</f>
        <v>-4.6900000000000004</v>
      </c>
      <c r="G275" s="42">
        <f>E275-C275</f>
        <v>-4.6900000000000004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43">
        <f>HYPERLINK("[P Only Old retention.xlsx]'Coastal N Reductions'!BF7", 917.856)</f>
        <v>917.85599999999999</v>
      </c>
      <c r="S275" s="43">
        <f>HYPERLINK("[P Only New retention.xlsx]'Coastal N Reductions'!BF7", 917.856)</f>
        <v>917.85599999999999</v>
      </c>
      <c r="T275" s="43">
        <f>HYPERLINK("[P Only with New retention and Differentiation.xlsx]'Coastal N Reductions'!BF7", 917.856)</f>
        <v>917.85599999999999</v>
      </c>
      <c r="U275" s="13"/>
      <c r="V275" s="13"/>
      <c r="W275" s="13"/>
      <c r="X275" s="13"/>
      <c r="Y275" s="13"/>
      <c r="Z275" s="13"/>
      <c r="AA275" s="13"/>
      <c r="AB275" s="28">
        <f>HYPERLINK("[P Only Old retention.xlsx]'Coastal N Reductions'!BS7", 2489.99999999395)</f>
        <v>2489.99999999395</v>
      </c>
      <c r="AC275" s="28">
        <f>HYPERLINK("[P Only New retention.xlsx]'Coastal N Reductions'!BS7", 2490)</f>
        <v>2490</v>
      </c>
      <c r="AD275" s="28">
        <f>HYPERLINK("[P Only with New retention and Differentiation.xlsx]'Coastal N Reductions'!BS7", 2490)</f>
        <v>2490</v>
      </c>
      <c r="AE275" s="16">
        <f>AC275-AB275</f>
        <v>6.0499587561935186E-9</v>
      </c>
      <c r="AF275" s="16">
        <f>AD275-AB275</f>
        <v>6.0499587561935186E-9</v>
      </c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43">
        <f>HYPERLINK("[P Only Old retention.xlsx]'Coastal N Reductions'!BP7", 477.458)</f>
        <v>477.45800000000003</v>
      </c>
      <c r="BB275" s="43">
        <f>HYPERLINK("[P Only New retention.xlsx]'Coastal N Reductions'!BP7", 459.716)</f>
        <v>459.71600000000001</v>
      </c>
      <c r="BC275" s="43">
        <f>HYPERLINK("[P Only with New retention and Differentiation.xlsx]'Coastal N Reductions'!BP7", 405.554)</f>
        <v>405.55399999999997</v>
      </c>
      <c r="BD275" s="42">
        <f>BB275-BA275</f>
        <v>-17.742000000000019</v>
      </c>
      <c r="BE275" s="42">
        <f>BC275-BA275</f>
        <v>-71.904000000000053</v>
      </c>
      <c r="BF275" s="13"/>
      <c r="BG275" s="13"/>
      <c r="BH275" s="13"/>
      <c r="BI275" s="13"/>
      <c r="BJ275" s="13"/>
    </row>
    <row r="276" spans="1:62" x14ac:dyDescent="0.55000000000000004">
      <c r="A276" s="30">
        <v>106</v>
      </c>
      <c r="B276" s="6" t="s">
        <v>200</v>
      </c>
      <c r="C276" s="40">
        <f>HYPERLINK("[P Only Old retention.xlsx]'Coastal N Reductions'!BD8", 82.71)</f>
        <v>82.71</v>
      </c>
      <c r="D276" s="40">
        <f>HYPERLINK("[P Only New retention.xlsx]'Coastal N Reductions'!BD8", 82.71)</f>
        <v>82.71</v>
      </c>
      <c r="E276" s="40">
        <f>HYPERLINK("[P Only with New retention and Differentiation.xlsx]'Coastal N Reductions'!BD8", 82.71)</f>
        <v>82.71</v>
      </c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40">
        <f>HYPERLINK("[P Only Old retention.xlsx]'Coastal N Reductions'!BF8", 4396.318)</f>
        <v>4396.3180000000002</v>
      </c>
      <c r="S276" s="40">
        <f>HYPERLINK("[P Only New retention.xlsx]'Coastal N Reductions'!BF8", 4396.318)</f>
        <v>4396.3180000000002</v>
      </c>
      <c r="T276" s="40">
        <f>HYPERLINK("[P Only with New retention and Differentiation.xlsx]'Coastal N Reductions'!BF8", 4396.318)</f>
        <v>4396.3180000000002</v>
      </c>
      <c r="U276" s="18"/>
      <c r="V276" s="18"/>
      <c r="W276" s="18"/>
      <c r="X276" s="18"/>
      <c r="Y276" s="18"/>
      <c r="Z276" s="18"/>
      <c r="AA276" s="18"/>
      <c r="AB276" s="26">
        <f>HYPERLINK("[P Only Old retention.xlsx]'Coastal N Reductions'!BS8", 3929.99999999981)</f>
        <v>3929.9999999998099</v>
      </c>
      <c r="AC276" s="26">
        <f>HYPERLINK("[P Only New retention.xlsx]'Coastal N Reductions'!BS8", 3929.99999999981)</f>
        <v>3929.9999999998099</v>
      </c>
      <c r="AD276" s="26">
        <f>HYPERLINK("[P Only with New retention and Differentiation.xlsx]'Coastal N Reductions'!BS8", 3929.99999999981)</f>
        <v>3929.9999999998099</v>
      </c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40">
        <f>HYPERLINK("[P Only Old retention.xlsx]'Coastal N Reductions'!BP8", 96.67)</f>
        <v>96.67</v>
      </c>
      <c r="BB276" s="40">
        <f>HYPERLINK("[P Only New retention.xlsx]'Coastal N Reductions'!BP8", 120.238)</f>
        <v>120.238</v>
      </c>
      <c r="BC276" s="40">
        <f>HYPERLINK("[P Only with New retention and Differentiation.xlsx]'Coastal N Reductions'!BP8", 65.338)</f>
        <v>65.337999999999994</v>
      </c>
      <c r="BD276" s="41">
        <f>BB276-BA276</f>
        <v>23.567999999999998</v>
      </c>
      <c r="BE276" s="42">
        <f>BC276-BA276</f>
        <v>-31.332000000000008</v>
      </c>
      <c r="BF276" s="18"/>
      <c r="BG276" s="18"/>
      <c r="BH276" s="18"/>
      <c r="BI276" s="18"/>
      <c r="BJ276" s="18"/>
    </row>
    <row r="277" spans="1:62" x14ac:dyDescent="0.55000000000000004">
      <c r="A277" s="31">
        <v>107</v>
      </c>
      <c r="B277" s="5" t="s">
        <v>201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</row>
    <row r="278" spans="1:62" x14ac:dyDescent="0.55000000000000004">
      <c r="A278" s="30">
        <v>108</v>
      </c>
      <c r="B278" s="6" t="s">
        <v>202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</row>
    <row r="279" spans="1:62" x14ac:dyDescent="0.55000000000000004">
      <c r="A279" s="31">
        <v>109</v>
      </c>
      <c r="B279" s="5" t="s">
        <v>203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</row>
    <row r="280" spans="1:62" x14ac:dyDescent="0.55000000000000004">
      <c r="A280" s="30">
        <v>110</v>
      </c>
      <c r="B280" s="6" t="s">
        <v>204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40">
        <f>HYPERLINK("[P Only Old retention.xlsx]'Coastal N Reductions'!BF12", 251.17)</f>
        <v>251.17</v>
      </c>
      <c r="S280" s="40">
        <f>HYPERLINK("[P Only New retention.xlsx]'Coastal N Reductions'!BF12", 251.17)</f>
        <v>251.17</v>
      </c>
      <c r="T280" s="40">
        <f>HYPERLINK("[P Only with New retention and Differentiation.xlsx]'Coastal N Reductions'!BF12", 251.17)</f>
        <v>251.17</v>
      </c>
      <c r="U280" s="18"/>
      <c r="V280" s="18"/>
      <c r="W280" s="18"/>
      <c r="X280" s="18"/>
      <c r="Y280" s="18"/>
      <c r="Z280" s="18"/>
      <c r="AA280" s="18"/>
      <c r="AB280" s="26">
        <f>HYPERLINK("[P Only Old retention.xlsx]'Coastal N Reductions'!BS12", 300)</f>
        <v>300</v>
      </c>
      <c r="AC280" s="26">
        <f>HYPERLINK("[P Only New retention.xlsx]'Coastal N Reductions'!BS12", 300)</f>
        <v>300</v>
      </c>
      <c r="AD280" s="26">
        <f>HYPERLINK("[P Only with New retention and Differentiation.xlsx]'Coastal N Reductions'!BS12", 300)</f>
        <v>300</v>
      </c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</row>
    <row r="281" spans="1:62" x14ac:dyDescent="0.55000000000000004">
      <c r="A281" s="31">
        <v>111</v>
      </c>
      <c r="B281" s="5" t="s">
        <v>205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43">
        <f>HYPERLINK("[P Only Old retention.xlsx]'Coastal N Reductions'!BF13", 1884.758)</f>
        <v>1884.758</v>
      </c>
      <c r="S281" s="43">
        <f>HYPERLINK("[P Only New retention.xlsx]'Coastal N Reductions'!BF13", 1884.758)</f>
        <v>1884.758</v>
      </c>
      <c r="T281" s="43">
        <f>HYPERLINK("[P Only with New retention and Differentiation.xlsx]'Coastal N Reductions'!BF13", 1884.758)</f>
        <v>1884.758</v>
      </c>
      <c r="U281" s="13"/>
      <c r="V281" s="13"/>
      <c r="W281" s="13"/>
      <c r="X281" s="13"/>
      <c r="Y281" s="13"/>
      <c r="Z281" s="13"/>
      <c r="AA281" s="13"/>
      <c r="AB281" s="28">
        <f>HYPERLINK("[P Only Old retention.xlsx]'Coastal N Reductions'!BS13", 2030)</f>
        <v>2030</v>
      </c>
      <c r="AC281" s="28">
        <f>HYPERLINK("[P Only New retention.xlsx]'Coastal N Reductions'!BS13", 2030)</f>
        <v>2030</v>
      </c>
      <c r="AD281" s="28">
        <f>HYPERLINK("[P Only with New retention and Differentiation.xlsx]'Coastal N Reductions'!BS13", 2030)</f>
        <v>2030</v>
      </c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43">
        <f>HYPERLINK("[P Only Old retention.xlsx]'Coastal N Reductions'!BP13", 112.69)</f>
        <v>112.69</v>
      </c>
      <c r="BB281" s="43">
        <f>HYPERLINK("[P Only New retention.xlsx]'Coastal N Reductions'!BP13", 95.832)</f>
        <v>95.831999999999994</v>
      </c>
      <c r="BC281" s="43">
        <f>HYPERLINK("[P Only with New retention and Differentiation.xlsx]'Coastal N Reductions'!BP13", 105.9)</f>
        <v>105.9</v>
      </c>
      <c r="BD281" s="42">
        <f>BB281-BA281</f>
        <v>-16.858000000000004</v>
      </c>
      <c r="BE281" s="42">
        <f>BC281-BA281</f>
        <v>-6.789999999999992</v>
      </c>
      <c r="BF281" s="13"/>
      <c r="BG281" s="13"/>
      <c r="BH281" s="13"/>
      <c r="BI281" s="13"/>
      <c r="BJ281" s="13"/>
    </row>
    <row r="282" spans="1:62" x14ac:dyDescent="0.55000000000000004">
      <c r="A282" s="30">
        <v>113</v>
      </c>
      <c r="B282" s="6" t="s">
        <v>206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</row>
    <row r="283" spans="1:62" x14ac:dyDescent="0.55000000000000004">
      <c r="A283" s="31">
        <v>114</v>
      </c>
      <c r="B283" s="5" t="s">
        <v>207</v>
      </c>
      <c r="C283" s="43">
        <f>HYPERLINK("[P Only Old retention.xlsx]'Coastal N Reductions'!BD15", 19.71)</f>
        <v>19.71</v>
      </c>
      <c r="D283" s="43">
        <f>HYPERLINK("[P Only New retention.xlsx]'Coastal N Reductions'!BD15", 19.71)</f>
        <v>19.71</v>
      </c>
      <c r="E283" s="43">
        <f>HYPERLINK("[P Only with New retention and Differentiation.xlsx]'Coastal N Reductions'!BD15", 19.71)</f>
        <v>19.71</v>
      </c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</row>
    <row r="284" spans="1:62" x14ac:dyDescent="0.55000000000000004">
      <c r="A284" s="30">
        <v>119</v>
      </c>
      <c r="B284" s="6" t="s">
        <v>208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40">
        <f>HYPERLINK("[P Only Old retention.xlsx]'Coastal N Reductions'!BF16", 1205.22)</f>
        <v>1205.22</v>
      </c>
      <c r="S284" s="40">
        <f>HYPERLINK("[P Only New retention.xlsx]'Coastal N Reductions'!BF16", 1199.97)</f>
        <v>1199.97</v>
      </c>
      <c r="T284" s="40">
        <f>HYPERLINK("[P Only with New retention and Differentiation.xlsx]'Coastal N Reductions'!BF16", 1192.42)</f>
        <v>1192.42</v>
      </c>
      <c r="U284" s="42">
        <f>S284-R284</f>
        <v>-5.25</v>
      </c>
      <c r="V284" s="42">
        <f>T284-R284</f>
        <v>-12.799999999999955</v>
      </c>
      <c r="W284" s="18"/>
      <c r="X284" s="18"/>
      <c r="Y284" s="18"/>
      <c r="Z284" s="18"/>
      <c r="AA284" s="18"/>
      <c r="AB284" s="26">
        <f>HYPERLINK("[P Only Old retention.xlsx]'Coastal N Reductions'!BS16", 690)</f>
        <v>690</v>
      </c>
      <c r="AC284" s="26">
        <f>HYPERLINK("[P Only New retention.xlsx]'Coastal N Reductions'!BS16", 690)</f>
        <v>690</v>
      </c>
      <c r="AD284" s="26">
        <f>HYPERLINK("[P Only with New retention and Differentiation.xlsx]'Coastal N Reductions'!BS16", 690)</f>
        <v>690</v>
      </c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40">
        <f>HYPERLINK("[P Only Old retention.xlsx]'Coastal N Reductions'!BP16", 593.332)</f>
        <v>593.33199999999999</v>
      </c>
      <c r="BB284" s="40">
        <f>HYPERLINK("[P Only New retention.xlsx]'Coastal N Reductions'!BP16", 597.002)</f>
        <v>597.00199999999995</v>
      </c>
      <c r="BC284" s="40">
        <f>HYPERLINK("[P Only with New retention and Differentiation.xlsx]'Coastal N Reductions'!BP16", 592.742)</f>
        <v>592.74199999999996</v>
      </c>
      <c r="BD284" s="41">
        <f>BB284-BA284</f>
        <v>3.6699999999999591</v>
      </c>
      <c r="BE284" s="42">
        <f>BC284-BA284</f>
        <v>-0.59000000000003183</v>
      </c>
      <c r="BF284" s="18"/>
      <c r="BG284" s="18"/>
      <c r="BH284" s="18"/>
      <c r="BI284" s="18"/>
      <c r="BJ284" s="18"/>
    </row>
    <row r="285" spans="1:62" x14ac:dyDescent="0.55000000000000004">
      <c r="A285" s="31">
        <v>120</v>
      </c>
      <c r="B285" s="5" t="s">
        <v>209</v>
      </c>
      <c r="C285" s="43">
        <f>HYPERLINK("[P Only Old retention.xlsx]'Coastal N Reductions'!BD17", 27.24)</f>
        <v>27.24</v>
      </c>
      <c r="D285" s="43">
        <f>HYPERLINK("[P Only New retention.xlsx]'Coastal N Reductions'!BD17", 27.24)</f>
        <v>27.24</v>
      </c>
      <c r="E285" s="43">
        <f>HYPERLINK("[P Only with New retention and Differentiation.xlsx]'Coastal N Reductions'!BD17", 27.24)</f>
        <v>27.24</v>
      </c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43">
        <f>HYPERLINK("[P Only Old retention.xlsx]'Coastal N Reductions'!BF17", 1395.74452282769)</f>
        <v>1395.7445228276899</v>
      </c>
      <c r="S285" s="43">
        <f>HYPERLINK("[P Only New retention.xlsx]'Coastal N Reductions'!BF17", 1395.74452282769)</f>
        <v>1395.7445228276899</v>
      </c>
      <c r="T285" s="43">
        <f>HYPERLINK("[P Only with New retention and Differentiation.xlsx]'Coastal N Reductions'!BF17", 1395.74452282769)</f>
        <v>1395.7445228276899</v>
      </c>
      <c r="U285" s="13"/>
      <c r="V285" s="13"/>
      <c r="W285" s="13"/>
      <c r="X285" s="13"/>
      <c r="Y285" s="13"/>
      <c r="Z285" s="13"/>
      <c r="AA285" s="13"/>
      <c r="AB285" s="28">
        <f>HYPERLINK("[P Only Old retention.xlsx]'Coastal N Reductions'!BS17", 1100)</f>
        <v>1100</v>
      </c>
      <c r="AC285" s="28">
        <f>HYPERLINK("[P Only New retention.xlsx]'Coastal N Reductions'!BS17", 1100)</f>
        <v>1100</v>
      </c>
      <c r="AD285" s="28">
        <f>HYPERLINK("[P Only with New retention and Differentiation.xlsx]'Coastal N Reductions'!BS17", 1100)</f>
        <v>1100</v>
      </c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43">
        <f>HYPERLINK("[P Only Old retention.xlsx]'Coastal N Reductions'!BP17", 27.19)</f>
        <v>27.19</v>
      </c>
      <c r="BB285" s="43">
        <f>HYPERLINK("[P Only New retention.xlsx]'Coastal N Reductions'!BP17", 27.19)</f>
        <v>27.19</v>
      </c>
      <c r="BC285" s="43">
        <f>HYPERLINK("[P Only with New retention and Differentiation.xlsx]'Coastal N Reductions'!BP17", 3.55)</f>
        <v>3.55</v>
      </c>
      <c r="BD285" s="13"/>
      <c r="BE285" s="42">
        <f>BC285-BA285</f>
        <v>-23.64</v>
      </c>
      <c r="BF285" s="28">
        <f>HYPERLINK("[P Only Old retention.xlsx]'Coastal N Reductions'!BT17", 1)</f>
        <v>1</v>
      </c>
      <c r="BG285" s="28">
        <f>HYPERLINK("[P Only New retention.xlsx]'Coastal N Reductions'!BT17", 1)</f>
        <v>1</v>
      </c>
      <c r="BH285" s="28">
        <f>HYPERLINK("[P Only with New retention and Differentiation.xlsx]'Coastal N Reductions'!BT17", 1)</f>
        <v>1</v>
      </c>
      <c r="BI285" s="13"/>
      <c r="BJ285" s="13"/>
    </row>
    <row r="286" spans="1:62" x14ac:dyDescent="0.55000000000000004">
      <c r="A286" s="30">
        <v>121</v>
      </c>
      <c r="B286" s="6" t="s">
        <v>210</v>
      </c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40">
        <f>HYPERLINK("[P Only Old retention.xlsx]'Coastal N Reductions'!BF18", 13.57)</f>
        <v>13.57</v>
      </c>
      <c r="S286" s="40">
        <f>HYPERLINK("[P Only New retention.xlsx]'Coastal N Reductions'!BF18", 13.57)</f>
        <v>13.57</v>
      </c>
      <c r="T286" s="40">
        <f>HYPERLINK("[P Only with New retention and Differentiation.xlsx]'Coastal N Reductions'!BF18", 13.57)</f>
        <v>13.57</v>
      </c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</row>
    <row r="287" spans="1:62" x14ac:dyDescent="0.55000000000000004">
      <c r="A287" s="31">
        <v>122</v>
      </c>
      <c r="B287" s="5" t="s">
        <v>211</v>
      </c>
      <c r="C287" s="43">
        <f>HYPERLINK("[P Only Old retention.xlsx]'Coastal N Reductions'!BD19", 0.0400000000000003)</f>
        <v>4.0000000000000299E-2</v>
      </c>
      <c r="D287" s="43">
        <f>HYPERLINK("[P Only New retention.xlsx]'Coastal N Reductions'!BD19", 0.0400000000000003)</f>
        <v>4.0000000000000299E-2</v>
      </c>
      <c r="E287" s="43">
        <f>HYPERLINK("[P Only with New retention and Differentiation.xlsx]'Coastal N Reductions'!BD19", 0.0400000000000003)</f>
        <v>4.0000000000000299E-2</v>
      </c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43">
        <f>HYPERLINK("[P Only Old retention.xlsx]'Coastal N Reductions'!BF19", 28.914)</f>
        <v>28.914000000000001</v>
      </c>
      <c r="S287" s="43">
        <f>HYPERLINK("[P Only New retention.xlsx]'Coastal N Reductions'!BF19", 28.458)</f>
        <v>28.457999999999998</v>
      </c>
      <c r="T287" s="43">
        <f>HYPERLINK("[P Only with New retention and Differentiation.xlsx]'Coastal N Reductions'!BF19", 28.458)</f>
        <v>28.457999999999998</v>
      </c>
      <c r="U287" s="42">
        <f>S287-R287</f>
        <v>-0.45600000000000307</v>
      </c>
      <c r="V287" s="42">
        <f>T287-R287</f>
        <v>-0.45600000000000307</v>
      </c>
      <c r="W287" s="13"/>
      <c r="X287" s="13"/>
      <c r="Y287" s="13"/>
      <c r="Z287" s="13"/>
      <c r="AA287" s="13"/>
      <c r="AB287" s="28">
        <f>HYPERLINK("[P Only Old retention.xlsx]'Coastal N Reductions'!BS19", 5650)</f>
        <v>5650</v>
      </c>
      <c r="AC287" s="28">
        <f>HYPERLINK("[P Only New retention.xlsx]'Coastal N Reductions'!BS19", 5650)</f>
        <v>5650</v>
      </c>
      <c r="AD287" s="28">
        <f>HYPERLINK("[P Only with New retention and Differentiation.xlsx]'Coastal N Reductions'!BS19", 5650)</f>
        <v>5650</v>
      </c>
      <c r="AE287" s="13"/>
      <c r="AF287" s="13"/>
      <c r="AG287" s="43">
        <f>HYPERLINK("[P Only Old retention.xlsx]'Coastal N Reductions'!BH19", 0.044)</f>
        <v>4.3999999999999997E-2</v>
      </c>
      <c r="AH287" s="13"/>
      <c r="AI287" s="13"/>
      <c r="AJ287" s="42">
        <f>AH287-AG287</f>
        <v>-4.3999999999999997E-2</v>
      </c>
      <c r="AK287" s="42">
        <f>AI287-AG287</f>
        <v>-4.3999999999999997E-2</v>
      </c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43">
        <f>HYPERLINK("[P Only Old retention.xlsx]'Coastal N Reductions'!BP19", 948.102)</f>
        <v>948.10199999999998</v>
      </c>
      <c r="BB287" s="43">
        <f>HYPERLINK("[P Only New retention.xlsx]'Coastal N Reductions'!BP19", 811.146)</f>
        <v>811.14599999999996</v>
      </c>
      <c r="BC287" s="43">
        <f>HYPERLINK("[P Only with New retention and Differentiation.xlsx]'Coastal N Reductions'!BP19", 703.59)</f>
        <v>703.59</v>
      </c>
      <c r="BD287" s="42">
        <f>BB287-BA287</f>
        <v>-136.95600000000002</v>
      </c>
      <c r="BE287" s="42">
        <f>BC287-BA287</f>
        <v>-244.51199999999994</v>
      </c>
      <c r="BF287" s="13"/>
      <c r="BG287" s="13"/>
      <c r="BH287" s="13"/>
      <c r="BI287" s="13"/>
      <c r="BJ287" s="13"/>
    </row>
    <row r="288" spans="1:62" x14ac:dyDescent="0.55000000000000004">
      <c r="A288" s="30">
        <v>123</v>
      </c>
      <c r="B288" s="6" t="s">
        <v>212</v>
      </c>
      <c r="C288" s="40">
        <f>HYPERLINK("[P Only Old retention.xlsx]'Coastal N Reductions'!BD20", 31.53)</f>
        <v>31.53</v>
      </c>
      <c r="D288" s="40">
        <f>HYPERLINK("[P Only New retention.xlsx]'Coastal N Reductions'!BD20", 31.53)</f>
        <v>31.53</v>
      </c>
      <c r="E288" s="40">
        <f>HYPERLINK("[P Only with New retention and Differentiation.xlsx]'Coastal N Reductions'!BD20", 34.64)</f>
        <v>34.64</v>
      </c>
      <c r="F288" s="18"/>
      <c r="G288" s="41">
        <f>E288-C288</f>
        <v>3.1099999999999994</v>
      </c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40">
        <f>HYPERLINK("[P Only Old retention.xlsx]'Coastal N Reductions'!BF20", 2.232)</f>
        <v>2.2320000000000002</v>
      </c>
      <c r="S288" s="40">
        <f>HYPERLINK("[P Only New retention.xlsx]'Coastal N Reductions'!BF20", 2.232)</f>
        <v>2.2320000000000002</v>
      </c>
      <c r="T288" s="40">
        <f>HYPERLINK("[P Only with New retention and Differentiation.xlsx]'Coastal N Reductions'!BF20", 6.852)</f>
        <v>6.8520000000000003</v>
      </c>
      <c r="U288" s="18"/>
      <c r="V288" s="41">
        <f>T288-R288</f>
        <v>4.62</v>
      </c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40">
        <f>HYPERLINK("[P Only New retention.xlsx]'Coastal N Reductions'!BP20", 7.07)</f>
        <v>7.07</v>
      </c>
      <c r="BC288" s="40">
        <f>HYPERLINK("[P Only with New retention and Differentiation.xlsx]'Coastal N Reductions'!BP20", 9.26)</f>
        <v>9.26</v>
      </c>
      <c r="BD288" s="41">
        <f>BB288-BA288</f>
        <v>7.07</v>
      </c>
      <c r="BE288" s="41">
        <f>BC288-BA288</f>
        <v>9.26</v>
      </c>
      <c r="BF288" s="18"/>
      <c r="BG288" s="18"/>
      <c r="BH288" s="18"/>
      <c r="BI288" s="18"/>
      <c r="BJ288" s="18"/>
    </row>
    <row r="289" spans="1:62" x14ac:dyDescent="0.55000000000000004">
      <c r="A289" s="31">
        <v>124</v>
      </c>
      <c r="B289" s="5" t="s">
        <v>213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43">
        <f>HYPERLINK("[P Only Old retention.xlsx]'Coastal N Reductions'!BF21", 1571.884)</f>
        <v>1571.884</v>
      </c>
      <c r="S289" s="43">
        <f>HYPERLINK("[P Only New retention.xlsx]'Coastal N Reductions'!BF21", 1571.884)</f>
        <v>1571.884</v>
      </c>
      <c r="T289" s="43">
        <f>HYPERLINK("[P Only with New retention and Differentiation.xlsx]'Coastal N Reductions'!BF21", 1571.884)</f>
        <v>1571.884</v>
      </c>
      <c r="U289" s="13"/>
      <c r="V289" s="13"/>
      <c r="W289" s="13"/>
      <c r="X289" s="13"/>
      <c r="Y289" s="13"/>
      <c r="Z289" s="13"/>
      <c r="AA289" s="13"/>
      <c r="AB289" s="28">
        <f>HYPERLINK("[P Only Old retention.xlsx]'Coastal N Reductions'!BS21", 1520)</f>
        <v>1520</v>
      </c>
      <c r="AC289" s="28">
        <f>HYPERLINK("[P Only New retention.xlsx]'Coastal N Reductions'!BS21", 1520)</f>
        <v>1520</v>
      </c>
      <c r="AD289" s="28">
        <f>HYPERLINK("[P Only with New retention and Differentiation.xlsx]'Coastal N Reductions'!BS21", 1520)</f>
        <v>1520</v>
      </c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43">
        <f>HYPERLINK("[P Only Old retention.xlsx]'Coastal N Reductions'!BP21", 12.658)</f>
        <v>12.657999999999999</v>
      </c>
      <c r="BB289" s="43">
        <f>HYPERLINK("[P Only New retention.xlsx]'Coastal N Reductions'!BP21", 44.8)</f>
        <v>44.8</v>
      </c>
      <c r="BC289" s="43">
        <f>HYPERLINK("[P Only with New retention and Differentiation.xlsx]'Coastal N Reductions'!BP21", 33.058)</f>
        <v>33.058</v>
      </c>
      <c r="BD289" s="41">
        <f>BB289-BA289</f>
        <v>32.141999999999996</v>
      </c>
      <c r="BE289" s="41">
        <f>BC289-BA289</f>
        <v>20.399999999999999</v>
      </c>
      <c r="BF289" s="13"/>
      <c r="BG289" s="13"/>
      <c r="BH289" s="13"/>
      <c r="BI289" s="13"/>
      <c r="BJ289" s="13"/>
    </row>
    <row r="290" spans="1:62" x14ac:dyDescent="0.55000000000000004">
      <c r="A290" s="30">
        <v>125</v>
      </c>
      <c r="B290" s="6" t="s">
        <v>214</v>
      </c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</row>
    <row r="291" spans="1:62" x14ac:dyDescent="0.55000000000000004">
      <c r="A291" s="31">
        <v>127</v>
      </c>
      <c r="B291" s="5" t="s">
        <v>215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</row>
    <row r="292" spans="1:62" x14ac:dyDescent="0.55000000000000004">
      <c r="A292" s="30">
        <v>128</v>
      </c>
      <c r="B292" s="6" t="s">
        <v>216</v>
      </c>
      <c r="C292" s="40">
        <f>HYPERLINK("[P Only Old retention.xlsx]'Coastal N Reductions'!BD24", 1944.77582886106)</f>
        <v>1944.7758288610601</v>
      </c>
      <c r="D292" s="40">
        <f>HYPERLINK("[P Only New retention.xlsx]'Coastal N Reductions'!BD24", 1944.77582886106)</f>
        <v>1944.7758288610601</v>
      </c>
      <c r="E292" s="40">
        <f>HYPERLINK("[P Only with New retention and Differentiation.xlsx]'Coastal N Reductions'!BD24", 1944.77582886106)</f>
        <v>1944.7758288610601</v>
      </c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40">
        <f>HYPERLINK("[P Only Old retention.xlsx]'Coastal N Reductions'!BF24", 12504.8414476075)</f>
        <v>12504.8414476075</v>
      </c>
      <c r="S292" s="40">
        <f>HYPERLINK("[P Only New retention.xlsx]'Coastal N Reductions'!BF24", 12504.8414476075)</f>
        <v>12504.8414476075</v>
      </c>
      <c r="T292" s="40">
        <f>HYPERLINK("[P Only with New retention and Differentiation.xlsx]'Coastal N Reductions'!BF24", 12504.8414476075)</f>
        <v>12504.8414476075</v>
      </c>
      <c r="U292" s="18"/>
      <c r="V292" s="18"/>
      <c r="W292" s="18"/>
      <c r="X292" s="18"/>
      <c r="Y292" s="18"/>
      <c r="Z292" s="18"/>
      <c r="AA292" s="18"/>
      <c r="AB292" s="26">
        <f>HYPERLINK("[P Only Old retention.xlsx]'Coastal N Reductions'!BS24", 13219.9999999979)</f>
        <v>13219.999999997901</v>
      </c>
      <c r="AC292" s="26">
        <f>HYPERLINK("[P Only New retention.xlsx]'Coastal N Reductions'!BS24", 13219.9999999979)</f>
        <v>13219.999999997901</v>
      </c>
      <c r="AD292" s="26">
        <f>HYPERLINK("[P Only with New retention and Differentiation.xlsx]'Coastal N Reductions'!BS24", 13219.9999999979)</f>
        <v>13219.999999997901</v>
      </c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40">
        <f>HYPERLINK("[P Only Old retention.xlsx]'Coastal N Reductions'!BP24", 1828.164)</f>
        <v>1828.164</v>
      </c>
      <c r="BB292" s="40">
        <f>HYPERLINK("[P Only New retention.xlsx]'Coastal N Reductions'!BP24", 1851.97)</f>
        <v>1851.97</v>
      </c>
      <c r="BC292" s="40">
        <f>HYPERLINK("[P Only with New retention and Differentiation.xlsx]'Coastal N Reductions'!BP24", 1856.136)</f>
        <v>1856.136</v>
      </c>
      <c r="BD292" s="41">
        <f>BB292-BA292</f>
        <v>23.80600000000004</v>
      </c>
      <c r="BE292" s="41">
        <f>BC292-BA292</f>
        <v>27.97199999999998</v>
      </c>
      <c r="BF292" s="18"/>
      <c r="BG292" s="18"/>
      <c r="BH292" s="18"/>
      <c r="BI292" s="18"/>
      <c r="BJ292" s="18"/>
    </row>
    <row r="293" spans="1:62" x14ac:dyDescent="0.55000000000000004">
      <c r="A293" s="31">
        <v>129</v>
      </c>
      <c r="B293" s="5" t="s">
        <v>217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</row>
    <row r="294" spans="1:62" x14ac:dyDescent="0.55000000000000004">
      <c r="A294" s="30">
        <v>130</v>
      </c>
      <c r="B294" s="6" t="s">
        <v>218</v>
      </c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</row>
    <row r="295" spans="1:62" x14ac:dyDescent="0.55000000000000004">
      <c r="A295" s="31">
        <v>131</v>
      </c>
      <c r="B295" s="5" t="s">
        <v>219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43">
        <f>HYPERLINK("[P Only Old retention.xlsx]'Coastal N Reductions'!BH27", 0.950000000000001)</f>
        <v>0.95000000000000095</v>
      </c>
      <c r="AH295" s="43">
        <f>HYPERLINK("[P Only New retention.xlsx]'Coastal N Reductions'!BH27", 0.950000000000001)</f>
        <v>0.95000000000000095</v>
      </c>
      <c r="AI295" s="43">
        <f>HYPERLINK("[P Only with New retention and Differentiation.xlsx]'Coastal N Reductions'!BH27", 0.950000000000001)</f>
        <v>0.95000000000000095</v>
      </c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43">
        <f>HYPERLINK("[P Only with New retention and Differentiation.xlsx]'Coastal N Reductions'!BP27", 0.11)</f>
        <v>0.11</v>
      </c>
      <c r="BD295" s="13"/>
      <c r="BE295" s="41">
        <f>BC295-BA295</f>
        <v>0.11</v>
      </c>
      <c r="BF295" s="13"/>
      <c r="BG295" s="13"/>
      <c r="BH295" s="13"/>
      <c r="BI295" s="13"/>
      <c r="BJ295" s="13"/>
    </row>
    <row r="296" spans="1:62" x14ac:dyDescent="0.55000000000000004">
      <c r="A296" s="30">
        <v>132</v>
      </c>
      <c r="B296" s="6" t="s">
        <v>220</v>
      </c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</row>
    <row r="297" spans="1:62" x14ac:dyDescent="0.55000000000000004">
      <c r="A297" s="31">
        <v>133</v>
      </c>
      <c r="B297" s="5" t="s">
        <v>221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</row>
    <row r="298" spans="1:62" x14ac:dyDescent="0.55000000000000004">
      <c r="A298" s="30">
        <v>136</v>
      </c>
      <c r="B298" s="6" t="s">
        <v>222</v>
      </c>
      <c r="C298" s="40">
        <f>HYPERLINK("[P Only Old retention.xlsx]'Coastal N Reductions'!BD30", 13284.9550596252)</f>
        <v>13284.955059625199</v>
      </c>
      <c r="D298" s="40">
        <f>HYPERLINK("[P Only New retention.xlsx]'Coastal N Reductions'!BD30", 13289.9650596252)</f>
        <v>13289.9650596252</v>
      </c>
      <c r="E298" s="40">
        <f>HYPERLINK("[P Only with New retention and Differentiation.xlsx]'Coastal N Reductions'!BD30", 13289.9650596252)</f>
        <v>13289.9650596252</v>
      </c>
      <c r="F298" s="41">
        <f>D298-C298</f>
        <v>5.0100000000002183</v>
      </c>
      <c r="G298" s="41">
        <f>E298-C298</f>
        <v>5.0100000000002183</v>
      </c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40">
        <f>HYPERLINK("[P Only Old retention.xlsx]'Coastal N Reductions'!BF30", 6601.98249279779)</f>
        <v>6601.9824927977897</v>
      </c>
      <c r="S298" s="40">
        <f>HYPERLINK("[P Only New retention.xlsx]'Coastal N Reductions'!BF30", 6604.21249279779)</f>
        <v>6604.2124927977902</v>
      </c>
      <c r="T298" s="40">
        <f>HYPERLINK("[P Only with New retention and Differentiation.xlsx]'Coastal N Reductions'!BF30", 6604.21249279779)</f>
        <v>6604.2124927977902</v>
      </c>
      <c r="U298" s="41">
        <f>S298-R298</f>
        <v>2.2300000000004729</v>
      </c>
      <c r="V298" s="41">
        <f>T298-R298</f>
        <v>2.2300000000004729</v>
      </c>
      <c r="W298" s="18"/>
      <c r="X298" s="18"/>
      <c r="Y298" s="18"/>
      <c r="Z298" s="18"/>
      <c r="AA298" s="18"/>
      <c r="AB298" s="26">
        <f>HYPERLINK("[P Only Old retention.xlsx]'Coastal N Reductions'!BS30", 20649.9999999653)</f>
        <v>20649.999999965301</v>
      </c>
      <c r="AC298" s="26">
        <f>HYPERLINK("[P Only New retention.xlsx]'Coastal N Reductions'!BS30", 20629.9999999653)</f>
        <v>20629.999999965301</v>
      </c>
      <c r="AD298" s="26">
        <f>HYPERLINK("[P Only with New retention and Differentiation.xlsx]'Coastal N Reductions'!BS30", 20629.9999999653)</f>
        <v>20629.999999965301</v>
      </c>
      <c r="AE298" s="21">
        <f>AC298-AB298</f>
        <v>-20</v>
      </c>
      <c r="AF298" s="21">
        <f>AD298-AB298</f>
        <v>-20</v>
      </c>
      <c r="AG298" s="40">
        <f>HYPERLINK("[P Only Old retention.xlsx]'Coastal N Reductions'!BH30", 0.35)</f>
        <v>0.35</v>
      </c>
      <c r="AH298" s="40">
        <f>HYPERLINK("[P Only New retention.xlsx]'Coastal N Reductions'!BH30", 0.35)</f>
        <v>0.35</v>
      </c>
      <c r="AI298" s="40">
        <f>HYPERLINK("[P Only with New retention and Differentiation.xlsx]'Coastal N Reductions'!BH30", 0.35)</f>
        <v>0.35</v>
      </c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40">
        <f>HYPERLINK("[P Only Old retention.xlsx]'Coastal N Reductions'!BP30", 1155.98)</f>
        <v>1155.98</v>
      </c>
      <c r="BB298" s="40">
        <f>HYPERLINK("[P Only New retention.xlsx]'Coastal N Reductions'!BP30", 1250.274)</f>
        <v>1250.2739999999999</v>
      </c>
      <c r="BC298" s="40">
        <f>HYPERLINK("[P Only with New retention and Differentiation.xlsx]'Coastal N Reductions'!BP30", 1231.28)</f>
        <v>1231.28</v>
      </c>
      <c r="BD298" s="41">
        <f>BB298-BA298</f>
        <v>94.293999999999869</v>
      </c>
      <c r="BE298" s="41">
        <f>BC298-BA298</f>
        <v>75.299999999999955</v>
      </c>
      <c r="BF298" s="26">
        <f>HYPERLINK("[P Only Old retention.xlsx]'Coastal N Reductions'!BT30", 2)</f>
        <v>2</v>
      </c>
      <c r="BG298" s="26">
        <f>HYPERLINK("[P Only New retention.xlsx]'Coastal N Reductions'!BT30", 2)</f>
        <v>2</v>
      </c>
      <c r="BH298" s="26">
        <f>HYPERLINK("[P Only with New retention and Differentiation.xlsx]'Coastal N Reductions'!BT30", 2)</f>
        <v>2</v>
      </c>
      <c r="BI298" s="18"/>
      <c r="BJ298" s="18"/>
    </row>
    <row r="299" spans="1:62" x14ac:dyDescent="0.55000000000000004">
      <c r="A299" s="31">
        <v>137</v>
      </c>
      <c r="B299" s="5" t="s">
        <v>223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</row>
    <row r="300" spans="1:62" x14ac:dyDescent="0.55000000000000004">
      <c r="A300" s="30">
        <v>138</v>
      </c>
      <c r="B300" s="6" t="s">
        <v>224</v>
      </c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</row>
    <row r="301" spans="1:62" x14ac:dyDescent="0.55000000000000004">
      <c r="A301" s="31">
        <v>139</v>
      </c>
      <c r="B301" s="5" t="s">
        <v>225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</row>
    <row r="302" spans="1:62" x14ac:dyDescent="0.55000000000000004">
      <c r="A302" s="30">
        <v>140</v>
      </c>
      <c r="B302" s="6" t="s">
        <v>226</v>
      </c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</row>
    <row r="303" spans="1:62" x14ac:dyDescent="0.55000000000000004">
      <c r="A303" s="31">
        <v>141</v>
      </c>
      <c r="B303" s="5" t="s">
        <v>227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</row>
    <row r="304" spans="1:62" x14ac:dyDescent="0.55000000000000004">
      <c r="A304" s="30">
        <v>142</v>
      </c>
      <c r="B304" s="6" t="s">
        <v>228</v>
      </c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</row>
    <row r="305" spans="1:62" x14ac:dyDescent="0.55000000000000004">
      <c r="A305" s="31">
        <v>144</v>
      </c>
      <c r="B305" s="5" t="s">
        <v>229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</row>
    <row r="306" spans="1:62" x14ac:dyDescent="0.55000000000000004">
      <c r="A306" s="30">
        <v>145</v>
      </c>
      <c r="B306" s="6" t="s">
        <v>230</v>
      </c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</row>
    <row r="307" spans="1:62" x14ac:dyDescent="0.55000000000000004">
      <c r="A307" s="31">
        <v>146</v>
      </c>
      <c r="B307" s="5" t="s">
        <v>231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</row>
    <row r="308" spans="1:62" x14ac:dyDescent="0.55000000000000004">
      <c r="A308" s="30">
        <v>147</v>
      </c>
      <c r="B308" s="6" t="s">
        <v>232</v>
      </c>
      <c r="C308" s="40">
        <f>HYPERLINK("[P Only Old retention.xlsx]'Coastal N Reductions'!BD40", 107.3)</f>
        <v>107.3</v>
      </c>
      <c r="D308" s="40">
        <f>HYPERLINK("[P Only New retention.xlsx]'Coastal N Reductions'!BD40", 110.93)</f>
        <v>110.93</v>
      </c>
      <c r="E308" s="40">
        <f>HYPERLINK("[P Only with New retention and Differentiation.xlsx]'Coastal N Reductions'!BD40", 110.93)</f>
        <v>110.93</v>
      </c>
      <c r="F308" s="41">
        <f>D308-C308</f>
        <v>3.6300000000000097</v>
      </c>
      <c r="G308" s="41">
        <f>E308-C308</f>
        <v>3.6300000000000097</v>
      </c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40">
        <f>HYPERLINK("[P Only Old retention.xlsx]'Coastal N Reductions'!BF40", 39.546)</f>
        <v>39.545999999999999</v>
      </c>
      <c r="S308" s="40">
        <f>HYPERLINK("[P Only New retention.xlsx]'Coastal N Reductions'!BF40", 39.546)</f>
        <v>39.545999999999999</v>
      </c>
      <c r="T308" s="40">
        <f>HYPERLINK("[P Only with New retention and Differentiation.xlsx]'Coastal N Reductions'!BF40", 39.546)</f>
        <v>39.545999999999999</v>
      </c>
      <c r="U308" s="18"/>
      <c r="V308" s="18"/>
      <c r="W308" s="18"/>
      <c r="X308" s="18"/>
      <c r="Y308" s="18"/>
      <c r="Z308" s="18"/>
      <c r="AA308" s="18"/>
      <c r="AB308" s="26">
        <f>HYPERLINK("[P Only Old retention.xlsx]'Coastal N Reductions'!BS40", 5199.99999998741)</f>
        <v>5199.9999999874099</v>
      </c>
      <c r="AC308" s="26">
        <f>HYPERLINK("[P Only New retention.xlsx]'Coastal N Reductions'!BS40", 5200)</f>
        <v>5200</v>
      </c>
      <c r="AD308" s="26">
        <f>HYPERLINK("[P Only with New retention and Differentiation.xlsx]'Coastal N Reductions'!BS40", 5200)</f>
        <v>5200</v>
      </c>
      <c r="AE308" s="16">
        <f>AC308-AB308</f>
        <v>1.2590135156642646E-8</v>
      </c>
      <c r="AF308" s="16">
        <f>AD308-AB308</f>
        <v>1.2590135156642646E-8</v>
      </c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40">
        <f>HYPERLINK("[P Only Old retention.xlsx]'Coastal N Reductions'!BP40", 1898.496)</f>
        <v>1898.4960000000001</v>
      </c>
      <c r="BB308" s="40">
        <f>HYPERLINK("[P Only New retention.xlsx]'Coastal N Reductions'!BP40", 1951.352)</f>
        <v>1951.3520000000001</v>
      </c>
      <c r="BC308" s="40">
        <f>HYPERLINK("[P Only with New retention and Differentiation.xlsx]'Coastal N Reductions'!BP40", 1962.784)</f>
        <v>1962.7840000000001</v>
      </c>
      <c r="BD308" s="41">
        <f>BB308-BA308</f>
        <v>52.855999999999995</v>
      </c>
      <c r="BE308" s="41">
        <f>BC308-BA308</f>
        <v>64.288000000000011</v>
      </c>
      <c r="BF308" s="26">
        <f>HYPERLINK("[P Only Old retention.xlsx]'Coastal N Reductions'!BT40", 1)</f>
        <v>1</v>
      </c>
      <c r="BG308" s="26">
        <f>HYPERLINK("[P Only New retention.xlsx]'Coastal N Reductions'!BT40", 1)</f>
        <v>1</v>
      </c>
      <c r="BH308" s="26">
        <f>HYPERLINK("[P Only with New retention and Differentiation.xlsx]'Coastal N Reductions'!BT40", 1)</f>
        <v>1</v>
      </c>
      <c r="BI308" s="18"/>
      <c r="BJ308" s="18"/>
    </row>
    <row r="309" spans="1:62" x14ac:dyDescent="0.55000000000000004">
      <c r="A309" s="31">
        <v>154</v>
      </c>
      <c r="B309" s="5" t="s">
        <v>233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</row>
    <row r="310" spans="1:62" x14ac:dyDescent="0.55000000000000004">
      <c r="A310" s="30">
        <v>157</v>
      </c>
      <c r="B310" s="6" t="s">
        <v>234</v>
      </c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40">
        <f>HYPERLINK("[P Only Old retention.xlsx]'Coastal N Reductions'!BF42", 39.42)</f>
        <v>39.42</v>
      </c>
      <c r="S310" s="40">
        <f>HYPERLINK("[P Only New retention.xlsx]'Coastal N Reductions'!BF42", 39.42)</f>
        <v>39.42</v>
      </c>
      <c r="T310" s="40">
        <f>HYPERLINK("[P Only with New retention and Differentiation.xlsx]'Coastal N Reductions'!BF42", 39.42)</f>
        <v>39.42</v>
      </c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</row>
    <row r="311" spans="1:62" x14ac:dyDescent="0.55000000000000004">
      <c r="A311" s="31">
        <v>158</v>
      </c>
      <c r="B311" s="5" t="s">
        <v>235</v>
      </c>
      <c r="C311" s="43">
        <f>HYPERLINK("[P Only Old retention.xlsx]'Coastal N Reductions'!BD43", 1788.55)</f>
        <v>1788.55</v>
      </c>
      <c r="D311" s="43">
        <f>HYPERLINK("[P Only New retention.xlsx]'Coastal N Reductions'!BD43", 1788.55)</f>
        <v>1788.55</v>
      </c>
      <c r="E311" s="43">
        <f>HYPERLINK("[P Only with New retention and Differentiation.xlsx]'Coastal N Reductions'!BD43", 1788.55)</f>
        <v>1788.55</v>
      </c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43">
        <f>HYPERLINK("[P Only Old retention.xlsx]'Coastal N Reductions'!BF43", 456.524)</f>
        <v>456.524</v>
      </c>
      <c r="S311" s="43">
        <f>HYPERLINK("[P Only New retention.xlsx]'Coastal N Reductions'!BF43", 456.524)</f>
        <v>456.524</v>
      </c>
      <c r="T311" s="43">
        <f>HYPERLINK("[P Only with New retention and Differentiation.xlsx]'Coastal N Reductions'!BF43", 456.524)</f>
        <v>456.524</v>
      </c>
      <c r="U311" s="13"/>
      <c r="V311" s="13"/>
      <c r="W311" s="13"/>
      <c r="X311" s="13"/>
      <c r="Y311" s="13"/>
      <c r="Z311" s="13"/>
      <c r="AA311" s="13"/>
      <c r="AB311" s="28">
        <f>HYPERLINK("[P Only Old retention.xlsx]'Coastal N Reductions'!BS43", 340)</f>
        <v>340</v>
      </c>
      <c r="AC311" s="28">
        <f>HYPERLINK("[P Only New retention.xlsx]'Coastal N Reductions'!BS43", 340)</f>
        <v>340</v>
      </c>
      <c r="AD311" s="28">
        <f>HYPERLINK("[P Only with New retention and Differentiation.xlsx]'Coastal N Reductions'!BS43", 340)</f>
        <v>340</v>
      </c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43">
        <f>HYPERLINK("[P Only Old retention.xlsx]'Coastal N Reductions'!BP43", 4.93)</f>
        <v>4.93</v>
      </c>
      <c r="BB311" s="43">
        <f>HYPERLINK("[P Only New retention.xlsx]'Coastal N Reductions'!BP43", 12.95)</f>
        <v>12.95</v>
      </c>
      <c r="BC311" s="43">
        <f>HYPERLINK("[P Only with New retention and Differentiation.xlsx]'Coastal N Reductions'!BP43", 1.71)</f>
        <v>1.71</v>
      </c>
      <c r="BD311" s="41">
        <f>BB311-BA311</f>
        <v>8.02</v>
      </c>
      <c r="BE311" s="42">
        <f>BC311-BA311</f>
        <v>-3.2199999999999998</v>
      </c>
      <c r="BF311" s="13"/>
      <c r="BG311" s="13"/>
      <c r="BH311" s="13"/>
      <c r="BI311" s="13"/>
      <c r="BJ311" s="13"/>
    </row>
    <row r="312" spans="1:62" x14ac:dyDescent="0.55000000000000004">
      <c r="A312" s="30">
        <v>159</v>
      </c>
      <c r="B312" s="6" t="s">
        <v>236</v>
      </c>
      <c r="C312" s="40">
        <f>HYPERLINK("[P Only Old retention.xlsx]'Coastal N Reductions'!BD44", 1172.46)</f>
        <v>1172.46</v>
      </c>
      <c r="D312" s="40">
        <f>HYPERLINK("[P Only New retention.xlsx]'Coastal N Reductions'!BD44", 1172.46)</f>
        <v>1172.46</v>
      </c>
      <c r="E312" s="40">
        <f>HYPERLINK("[P Only with New retention and Differentiation.xlsx]'Coastal N Reductions'!BD44", 1172.46)</f>
        <v>1172.46</v>
      </c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40">
        <f>HYPERLINK("[P Only Old retention.xlsx]'Coastal N Reductions'!BF44", 36.722)</f>
        <v>36.722000000000001</v>
      </c>
      <c r="S312" s="40">
        <f>HYPERLINK("[P Only New retention.xlsx]'Coastal N Reductions'!BF44", 36.722)</f>
        <v>36.722000000000001</v>
      </c>
      <c r="T312" s="40">
        <f>HYPERLINK("[P Only with New retention and Differentiation.xlsx]'Coastal N Reductions'!BF44", 36.722)</f>
        <v>36.722000000000001</v>
      </c>
      <c r="U312" s="18"/>
      <c r="V312" s="18"/>
      <c r="W312" s="18"/>
      <c r="X312" s="18"/>
      <c r="Y312" s="18"/>
      <c r="Z312" s="18"/>
      <c r="AA312" s="18"/>
      <c r="AB312" s="26">
        <f>HYPERLINK("[P Only Old retention.xlsx]'Coastal N Reductions'!BS44", 290)</f>
        <v>290</v>
      </c>
      <c r="AC312" s="26">
        <f>HYPERLINK("[P Only New retention.xlsx]'Coastal N Reductions'!BS44", 290)</f>
        <v>290</v>
      </c>
      <c r="AD312" s="26">
        <f>HYPERLINK("[P Only with New retention and Differentiation.xlsx]'Coastal N Reductions'!BS44", 290)</f>
        <v>290</v>
      </c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</row>
    <row r="313" spans="1:62" x14ac:dyDescent="0.55000000000000004">
      <c r="A313" s="31">
        <v>160</v>
      </c>
      <c r="B313" s="5" t="s">
        <v>237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</row>
    <row r="314" spans="1:62" x14ac:dyDescent="0.55000000000000004">
      <c r="A314" s="30">
        <v>165</v>
      </c>
      <c r="B314" s="6" t="s">
        <v>238</v>
      </c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26">
        <f>HYPERLINK("[P Only Old retention.xlsx]'Coastal N Reductions'!BS47", 100)</f>
        <v>100</v>
      </c>
      <c r="AC314" s="26">
        <f>HYPERLINK("[P Only New retention.xlsx]'Coastal N Reductions'!BS47", 100)</f>
        <v>100</v>
      </c>
      <c r="AD314" s="26">
        <f>HYPERLINK("[P Only with New retention and Differentiation.xlsx]'Coastal N Reductions'!BS47", 100)</f>
        <v>100</v>
      </c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</row>
    <row r="315" spans="1:62" x14ac:dyDescent="0.55000000000000004">
      <c r="A315" s="31">
        <v>200</v>
      </c>
      <c r="B315" s="5" t="s">
        <v>239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43">
        <f>HYPERLINK("[P Only Old retention.xlsx]'Coastal N Reductions'!BF51", 76.214)</f>
        <v>76.213999999999999</v>
      </c>
      <c r="S315" s="43">
        <f>HYPERLINK("[P Only New retention.xlsx]'Coastal N Reductions'!BF51", 76.214)</f>
        <v>76.213999999999999</v>
      </c>
      <c r="T315" s="43">
        <f>HYPERLINK("[P Only with New retention and Differentiation.xlsx]'Coastal N Reductions'!BF51", 76.214)</f>
        <v>76.213999999999999</v>
      </c>
      <c r="U315" s="13"/>
      <c r="V315" s="13"/>
      <c r="W315" s="13"/>
      <c r="X315" s="13"/>
      <c r="Y315" s="13"/>
      <c r="Z315" s="13"/>
      <c r="AA315" s="13"/>
      <c r="AB315" s="28">
        <f>HYPERLINK("[P Only Old retention.xlsx]'Coastal N Reductions'!BS51", 110)</f>
        <v>110</v>
      </c>
      <c r="AC315" s="28">
        <f>HYPERLINK("[P Only New retention.xlsx]'Coastal N Reductions'!BS51", 110)</f>
        <v>110</v>
      </c>
      <c r="AD315" s="28">
        <f>HYPERLINK("[P Only with New retention and Differentiation.xlsx]'Coastal N Reductions'!BS51", 110)</f>
        <v>110</v>
      </c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43">
        <f>HYPERLINK("[P Only Old retention.xlsx]'Coastal N Reductions'!BP51", 6.284)</f>
        <v>6.2839999999999998</v>
      </c>
      <c r="BB315" s="43">
        <f>HYPERLINK("[P Only New retention.xlsx]'Coastal N Reductions'!BP51", 1.91)</f>
        <v>1.91</v>
      </c>
      <c r="BC315" s="43">
        <f>HYPERLINK("[P Only with New retention and Differentiation.xlsx]'Coastal N Reductions'!BP51", 4.78)</f>
        <v>4.78</v>
      </c>
      <c r="BD315" s="42">
        <f>BB315-BA315</f>
        <v>-4.3739999999999997</v>
      </c>
      <c r="BE315" s="42">
        <f>BC315-BA315</f>
        <v>-1.5039999999999996</v>
      </c>
      <c r="BF315" s="13"/>
      <c r="BG315" s="13"/>
      <c r="BH315" s="13"/>
      <c r="BI315" s="13"/>
      <c r="BJ315" s="13"/>
    </row>
    <row r="316" spans="1:62" x14ac:dyDescent="0.55000000000000004">
      <c r="A316" s="30">
        <v>201</v>
      </c>
      <c r="B316" s="6" t="s">
        <v>240</v>
      </c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26">
        <f>HYPERLINK("[P Only Old retention.xlsx]'Coastal N Reductions'!BS52", 20)</f>
        <v>20</v>
      </c>
      <c r="AC316" s="26">
        <f>HYPERLINK("[P Only New retention.xlsx]'Coastal N Reductions'!BS52", 20)</f>
        <v>20</v>
      </c>
      <c r="AD316" s="26">
        <f>HYPERLINK("[P Only with New retention and Differentiation.xlsx]'Coastal N Reductions'!BS52", 20)</f>
        <v>20</v>
      </c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40">
        <f>HYPERLINK("[P Only Old retention.xlsx]'Coastal N Reductions'!BP52", 0.098)</f>
        <v>9.8000000000000004E-2</v>
      </c>
      <c r="BB316" s="18"/>
      <c r="BC316" s="40">
        <f>HYPERLINK("[P Only with New retention and Differentiation.xlsx]'Coastal N Reductions'!BP52", 0.098)</f>
        <v>9.8000000000000004E-2</v>
      </c>
      <c r="BD316" s="42">
        <f>BB316-BA316</f>
        <v>-9.8000000000000004E-2</v>
      </c>
      <c r="BE316" s="18"/>
      <c r="BF316" s="18"/>
      <c r="BG316" s="18"/>
      <c r="BH316" s="18"/>
      <c r="BI316" s="18"/>
      <c r="BJ316" s="18"/>
    </row>
    <row r="317" spans="1:62" x14ac:dyDescent="0.55000000000000004">
      <c r="A317" s="31">
        <v>204</v>
      </c>
      <c r="B317" s="5" t="s">
        <v>241</v>
      </c>
      <c r="C317" s="43">
        <f>HYPERLINK("[P Only Old retention.xlsx]'Coastal N Reductions'!BD53", 0.87)</f>
        <v>0.87</v>
      </c>
      <c r="D317" s="43">
        <f>HYPERLINK("[P Only New retention.xlsx]'Coastal N Reductions'!BD53", 0.87)</f>
        <v>0.87</v>
      </c>
      <c r="E317" s="13"/>
      <c r="F317" s="13"/>
      <c r="G317" s="42">
        <f>E317-C317</f>
        <v>-0.87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43">
        <f>HYPERLINK("[P Only Old retention.xlsx]'Coastal N Reductions'!BF53", 434.27)</f>
        <v>434.27</v>
      </c>
      <c r="S317" s="43">
        <f>HYPERLINK("[P Only New retention.xlsx]'Coastal N Reductions'!BF53", 434.27)</f>
        <v>434.27</v>
      </c>
      <c r="T317" s="43">
        <f>HYPERLINK("[P Only with New retention and Differentiation.xlsx]'Coastal N Reductions'!BF53", 435.14)</f>
        <v>435.14</v>
      </c>
      <c r="U317" s="13"/>
      <c r="V317" s="41">
        <f>T317-R317</f>
        <v>0.87000000000000455</v>
      </c>
      <c r="W317" s="13"/>
      <c r="X317" s="13"/>
      <c r="Y317" s="13"/>
      <c r="Z317" s="13"/>
      <c r="AA317" s="13"/>
      <c r="AB317" s="28">
        <f>HYPERLINK("[P Only Old retention.xlsx]'Coastal N Reductions'!BS53", 370)</f>
        <v>370</v>
      </c>
      <c r="AC317" s="28">
        <f>HYPERLINK("[P Only New retention.xlsx]'Coastal N Reductions'!BS53", 370)</f>
        <v>370</v>
      </c>
      <c r="AD317" s="28">
        <f>HYPERLINK("[P Only with New retention and Differentiation.xlsx]'Coastal N Reductions'!BS53", 370)</f>
        <v>370</v>
      </c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43">
        <f>HYPERLINK("[P Only Old retention.xlsx]'Coastal N Reductions'!BP53", 31.89)</f>
        <v>31.89</v>
      </c>
      <c r="BB317" s="43">
        <f>HYPERLINK("[P Only New retention.xlsx]'Coastal N Reductions'!BP53", 31.798)</f>
        <v>31.797999999999998</v>
      </c>
      <c r="BC317" s="43">
        <f>HYPERLINK("[P Only with New retention and Differentiation.xlsx]'Coastal N Reductions'!BP53", 31.546)</f>
        <v>31.545999999999999</v>
      </c>
      <c r="BD317" s="42">
        <f>BB317-BA317</f>
        <v>-9.2000000000002302E-2</v>
      </c>
      <c r="BE317" s="42">
        <f>BC317-BA317</f>
        <v>-0.34400000000000119</v>
      </c>
      <c r="BF317" s="13"/>
      <c r="BG317" s="13"/>
      <c r="BH317" s="13"/>
      <c r="BI317" s="13"/>
      <c r="BJ317" s="13"/>
    </row>
    <row r="318" spans="1:62" x14ac:dyDescent="0.55000000000000004">
      <c r="A318" s="30">
        <v>205</v>
      </c>
      <c r="B318" s="6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</row>
    <row r="319" spans="1:62" x14ac:dyDescent="0.55000000000000004">
      <c r="A319" s="31">
        <v>206</v>
      </c>
      <c r="B319" s="5" t="s">
        <v>242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</row>
    <row r="320" spans="1:62" x14ac:dyDescent="0.55000000000000004">
      <c r="A320" s="30">
        <v>207</v>
      </c>
      <c r="B320" s="6" t="s">
        <v>243</v>
      </c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</row>
    <row r="321" spans="1:62" x14ac:dyDescent="0.55000000000000004">
      <c r="A321" s="31">
        <v>208</v>
      </c>
      <c r="B321" s="5" t="s">
        <v>244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</row>
    <row r="322" spans="1:62" x14ac:dyDescent="0.55000000000000004">
      <c r="A322" s="30">
        <v>209</v>
      </c>
      <c r="B322" s="6" t="s">
        <v>245</v>
      </c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26">
        <f>HYPERLINK("[P Only Old retention.xlsx]'Coastal N Reductions'!BS58", 50)</f>
        <v>50</v>
      </c>
      <c r="AC322" s="26">
        <f>HYPERLINK("[P Only New retention.xlsx]'Coastal N Reductions'!BS58", 50)</f>
        <v>50</v>
      </c>
      <c r="AD322" s="26">
        <f>HYPERLINK("[P Only with New retention and Differentiation.xlsx]'Coastal N Reductions'!BS58", 50)</f>
        <v>50</v>
      </c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40">
        <f>HYPERLINK("[P Only with New retention and Differentiation.xlsx]'Coastal N Reductions'!BP58", 11.54)</f>
        <v>11.54</v>
      </c>
      <c r="BD322" s="18"/>
      <c r="BE322" s="41">
        <f>BC322-BA322</f>
        <v>11.54</v>
      </c>
      <c r="BF322" s="18"/>
      <c r="BG322" s="18"/>
      <c r="BH322" s="18"/>
      <c r="BI322" s="18"/>
      <c r="BJ322" s="18"/>
    </row>
    <row r="323" spans="1:62" x14ac:dyDescent="0.55000000000000004">
      <c r="A323" s="31">
        <v>212</v>
      </c>
      <c r="B323" s="5" t="s">
        <v>246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</row>
    <row r="324" spans="1:62" x14ac:dyDescent="0.55000000000000004">
      <c r="A324" s="30">
        <v>214</v>
      </c>
      <c r="B324" s="6" t="s">
        <v>247</v>
      </c>
      <c r="C324" s="40">
        <f>HYPERLINK("[P Only Old retention.xlsx]'Coastal N Reductions'!BD60", 1212.67)</f>
        <v>1212.67</v>
      </c>
      <c r="D324" s="40">
        <f>HYPERLINK("[P Only New retention.xlsx]'Coastal N Reductions'!BD60", 1211.95)</f>
        <v>1211.95</v>
      </c>
      <c r="E324" s="40">
        <f>HYPERLINK("[P Only with New retention and Differentiation.xlsx]'Coastal N Reductions'!BD60", 1211.95)</f>
        <v>1211.95</v>
      </c>
      <c r="F324" s="42">
        <f>D324-C324</f>
        <v>-0.72000000000002728</v>
      </c>
      <c r="G324" s="42">
        <f>E324-C324</f>
        <v>-0.72000000000002728</v>
      </c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40">
        <f>HYPERLINK("[P Only Old retention.xlsx]'Coastal N Reductions'!BF60", 7.888)</f>
        <v>7.8879999999999999</v>
      </c>
      <c r="S324" s="40">
        <f>HYPERLINK("[P Only New retention.xlsx]'Coastal N Reductions'!BF60", 7.888)</f>
        <v>7.8879999999999999</v>
      </c>
      <c r="T324" s="40">
        <f>HYPERLINK("[P Only with New retention and Differentiation.xlsx]'Coastal N Reductions'!BF60", 7.888)</f>
        <v>7.8879999999999999</v>
      </c>
      <c r="U324" s="18"/>
      <c r="V324" s="18"/>
      <c r="W324" s="18"/>
      <c r="X324" s="18"/>
      <c r="Y324" s="18"/>
      <c r="Z324" s="18"/>
      <c r="AA324" s="18"/>
      <c r="AB324" s="26">
        <f>HYPERLINK("[P Only Old retention.xlsx]'Coastal N Reductions'!BS60", 1669.99999999989)</f>
        <v>1669.99999999989</v>
      </c>
      <c r="AC324" s="26">
        <f>HYPERLINK("[P Only New retention.xlsx]'Coastal N Reductions'!BS60", 1669.99999999989)</f>
        <v>1669.99999999989</v>
      </c>
      <c r="AD324" s="26">
        <f>HYPERLINK("[P Only with New retention and Differentiation.xlsx]'Coastal N Reductions'!BS60", 1669.99999999989)</f>
        <v>1669.99999999989</v>
      </c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40">
        <f>HYPERLINK("[P Only Old retention.xlsx]'Coastal N Reductions'!BP60", 160.588)</f>
        <v>160.58799999999999</v>
      </c>
      <c r="BB324" s="40">
        <f>HYPERLINK("[P Only New retention.xlsx]'Coastal N Reductions'!BP60", 150.002)</f>
        <v>150.00200000000001</v>
      </c>
      <c r="BC324" s="40">
        <f>HYPERLINK("[P Only with New retention and Differentiation.xlsx]'Coastal N Reductions'!BP60", 175.672)</f>
        <v>175.672</v>
      </c>
      <c r="BD324" s="42">
        <f>BB324-BA324</f>
        <v>-10.585999999999984</v>
      </c>
      <c r="BE324" s="41">
        <f>BC324-BA324</f>
        <v>15.084000000000003</v>
      </c>
      <c r="BF324" s="18"/>
      <c r="BG324" s="18"/>
      <c r="BH324" s="18"/>
      <c r="BI324" s="18"/>
      <c r="BJ324" s="18"/>
    </row>
    <row r="325" spans="1:62" x14ac:dyDescent="0.55000000000000004">
      <c r="A325" s="31">
        <v>216</v>
      </c>
      <c r="B325" s="5" t="s">
        <v>248</v>
      </c>
      <c r="C325" s="43">
        <f>HYPERLINK("[P Only Old retention.xlsx]'Coastal N Reductions'!BD61", 27.66)</f>
        <v>27.66</v>
      </c>
      <c r="D325" s="43">
        <f>HYPERLINK("[P Only New retention.xlsx]'Coastal N Reductions'!BD61", 27.66)</f>
        <v>27.66</v>
      </c>
      <c r="E325" s="43">
        <f>HYPERLINK("[P Only with New retention and Differentiation.xlsx]'Coastal N Reductions'!BD61", 27.66)</f>
        <v>27.66</v>
      </c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43">
        <f>HYPERLINK("[P Only Old retention.xlsx]'Coastal N Reductions'!BF61", 819.206)</f>
        <v>819.20600000000002</v>
      </c>
      <c r="S325" s="43">
        <f>HYPERLINK("[P Only New retention.xlsx]'Coastal N Reductions'!BF61", 819.206)</f>
        <v>819.20600000000002</v>
      </c>
      <c r="T325" s="43">
        <f>HYPERLINK("[P Only with New retention and Differentiation.xlsx]'Coastal N Reductions'!BF61", 819.206)</f>
        <v>819.20600000000002</v>
      </c>
      <c r="U325" s="13"/>
      <c r="V325" s="13"/>
      <c r="W325" s="13"/>
      <c r="X325" s="13"/>
      <c r="Y325" s="13"/>
      <c r="Z325" s="13"/>
      <c r="AA325" s="13"/>
      <c r="AB325" s="28">
        <f>HYPERLINK("[P Only Old retention.xlsx]'Coastal N Reductions'!BS61", 710)</f>
        <v>710</v>
      </c>
      <c r="AC325" s="28">
        <f>HYPERLINK("[P Only New retention.xlsx]'Coastal N Reductions'!BS61", 710)</f>
        <v>710</v>
      </c>
      <c r="AD325" s="28">
        <f>HYPERLINK("[P Only with New retention and Differentiation.xlsx]'Coastal N Reductions'!BS61", 710)</f>
        <v>710</v>
      </c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43">
        <f>HYPERLINK("[P Only Old retention.xlsx]'Coastal N Reductions'!BP61", 7.64)</f>
        <v>7.64</v>
      </c>
      <c r="BB325" s="43">
        <f>HYPERLINK("[P Only New retention.xlsx]'Coastal N Reductions'!BP61", 7.4)</f>
        <v>7.4</v>
      </c>
      <c r="BC325" s="43">
        <f>HYPERLINK("[P Only with New retention and Differentiation.xlsx]'Coastal N Reductions'!BP61", 5.14)</f>
        <v>5.14</v>
      </c>
      <c r="BD325" s="42">
        <f>BB325-BA325</f>
        <v>-0.23999999999999932</v>
      </c>
      <c r="BE325" s="42">
        <f>BC325-BA325</f>
        <v>-2.5</v>
      </c>
      <c r="BF325" s="13"/>
      <c r="BG325" s="13"/>
      <c r="BH325" s="13"/>
      <c r="BI325" s="13"/>
      <c r="BJ325" s="13"/>
    </row>
    <row r="326" spans="1:62" x14ac:dyDescent="0.55000000000000004">
      <c r="A326" s="30">
        <v>217</v>
      </c>
      <c r="B326" s="6" t="s">
        <v>249</v>
      </c>
      <c r="C326" s="40">
        <f>HYPERLINK("[P Only Old retention.xlsx]'Coastal N Reductions'!BD62", 31.09)</f>
        <v>31.09</v>
      </c>
      <c r="D326" s="40">
        <f>HYPERLINK("[P Only New retention.xlsx]'Coastal N Reductions'!BD62", 22.57)</f>
        <v>22.57</v>
      </c>
      <c r="E326" s="40">
        <f>HYPERLINK("[P Only with New retention and Differentiation.xlsx]'Coastal N Reductions'!BD62", 32.37)</f>
        <v>32.369999999999997</v>
      </c>
      <c r="F326" s="42">
        <f>D326-C326</f>
        <v>-8.52</v>
      </c>
      <c r="G326" s="41">
        <f>E326-C326</f>
        <v>1.2799999999999976</v>
      </c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40">
        <f>HYPERLINK("[P Only Old retention.xlsx]'Coastal N Reductions'!BF62", 9.804)</f>
        <v>9.8040000000000003</v>
      </c>
      <c r="S326" s="40">
        <f>HYPERLINK("[P Only New retention.xlsx]'Coastal N Reductions'!BF62", 0.004)</f>
        <v>4.0000000000000001E-3</v>
      </c>
      <c r="T326" s="40">
        <f>HYPERLINK("[P Only with New retention and Differentiation.xlsx]'Coastal N Reductions'!BF62", 0.004)</f>
        <v>4.0000000000000001E-3</v>
      </c>
      <c r="U326" s="42">
        <f>S326-R326</f>
        <v>-9.8000000000000007</v>
      </c>
      <c r="V326" s="42">
        <f>T326-R326</f>
        <v>-9.8000000000000007</v>
      </c>
      <c r="W326" s="18"/>
      <c r="X326" s="18"/>
      <c r="Y326" s="18"/>
      <c r="Z326" s="18"/>
      <c r="AA326" s="18"/>
      <c r="AB326" s="26">
        <f>HYPERLINK("[P Only Old retention.xlsx]'Coastal N Reductions'!BS62", 699.999999980184)</f>
        <v>699.99999998018404</v>
      </c>
      <c r="AC326" s="26">
        <f>HYPERLINK("[P Only New retention.xlsx]'Coastal N Reductions'!BS62", 700)</f>
        <v>700</v>
      </c>
      <c r="AD326" s="26">
        <f>HYPERLINK("[P Only with New retention and Differentiation.xlsx]'Coastal N Reductions'!BS62", 700)</f>
        <v>700</v>
      </c>
      <c r="AE326" s="16">
        <f>AC326-AB326</f>
        <v>1.9815956875390839E-8</v>
      </c>
      <c r="AF326" s="16">
        <f>AD326-AB326</f>
        <v>1.9815956875390839E-8</v>
      </c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40">
        <f>HYPERLINK("[P Only Old retention.xlsx]'Coastal N Reductions'!BP62", 191.404)</f>
        <v>191.404</v>
      </c>
      <c r="BB326" s="40">
        <f>HYPERLINK("[P Only New retention.xlsx]'Coastal N Reductions'!BP62", 306.174)</f>
        <v>306.17399999999998</v>
      </c>
      <c r="BC326" s="40">
        <f>HYPERLINK("[P Only with New retention and Differentiation.xlsx]'Coastal N Reductions'!BP62", 193.504)</f>
        <v>193.50399999999999</v>
      </c>
      <c r="BD326" s="41">
        <f>BB326-BA326</f>
        <v>114.76999999999998</v>
      </c>
      <c r="BE326" s="41">
        <f>BC326-BA326</f>
        <v>2.0999999999999943</v>
      </c>
      <c r="BF326" s="18"/>
      <c r="BG326" s="18"/>
      <c r="BH326" s="18"/>
      <c r="BI326" s="18"/>
      <c r="BJ326" s="18"/>
    </row>
    <row r="327" spans="1:62" x14ac:dyDescent="0.55000000000000004">
      <c r="A327" s="31">
        <v>219</v>
      </c>
      <c r="B327" s="5" t="s">
        <v>250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</row>
    <row r="328" spans="1:62" x14ac:dyDescent="0.55000000000000004">
      <c r="A328" s="30">
        <v>221</v>
      </c>
      <c r="B328" s="6" t="s">
        <v>251</v>
      </c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</row>
    <row r="329" spans="1:62" x14ac:dyDescent="0.55000000000000004">
      <c r="A329" s="31">
        <v>222</v>
      </c>
      <c r="B329" s="5" t="s">
        <v>252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</row>
    <row r="330" spans="1:62" x14ac:dyDescent="0.55000000000000004">
      <c r="A330" s="30">
        <v>224</v>
      </c>
      <c r="B330" s="6" t="s">
        <v>253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</row>
    <row r="331" spans="1:62" x14ac:dyDescent="0.55000000000000004">
      <c r="A331" s="31">
        <v>225</v>
      </c>
      <c r="B331" s="5" t="s">
        <v>254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</row>
    <row r="332" spans="1:62" x14ac:dyDescent="0.55000000000000004">
      <c r="A332" s="30">
        <v>231</v>
      </c>
      <c r="B332" s="6" t="s">
        <v>255</v>
      </c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</row>
    <row r="333" spans="1:62" x14ac:dyDescent="0.55000000000000004">
      <c r="A333" s="31">
        <v>232</v>
      </c>
      <c r="B333" s="5" t="s">
        <v>256</v>
      </c>
      <c r="C333" s="43">
        <f>HYPERLINK("[P Only Old retention.xlsx]'Coastal N Reductions'!BD69", 11411.818962766)</f>
        <v>11411.818962765999</v>
      </c>
      <c r="D333" s="43">
        <f>HYPERLINK("[P Only New retention.xlsx]'Coastal N Reductions'!BD69", 11411.818962766)</f>
        <v>11411.818962765999</v>
      </c>
      <c r="E333" s="43">
        <f>HYPERLINK("[P Only with New retention and Differentiation.xlsx]'Coastal N Reductions'!BD69", 11411.818962766)</f>
        <v>11411.818962765999</v>
      </c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43">
        <f>HYPERLINK("[P Only Old retention.xlsx]'Coastal N Reductions'!BF69", 2816.41295890411)</f>
        <v>2816.4129589041099</v>
      </c>
      <c r="S333" s="43">
        <f>HYPERLINK("[P Only New retention.xlsx]'Coastal N Reductions'!BF69", 2816.41295890411)</f>
        <v>2816.4129589041099</v>
      </c>
      <c r="T333" s="43">
        <f>HYPERLINK("[P Only with New retention and Differentiation.xlsx]'Coastal N Reductions'!BF69", 2816.41295890411)</f>
        <v>2816.4129589041099</v>
      </c>
      <c r="U333" s="13"/>
      <c r="V333" s="13"/>
      <c r="W333" s="13"/>
      <c r="X333" s="13"/>
      <c r="Y333" s="13"/>
      <c r="Z333" s="13"/>
      <c r="AA333" s="13"/>
      <c r="AB333" s="28">
        <f>HYPERLINK("[P Only Old retention.xlsx]'Coastal N Reductions'!BS69", 9839.99999999277)</f>
        <v>9839.9999999927695</v>
      </c>
      <c r="AC333" s="28">
        <f>HYPERLINK("[P Only New retention.xlsx]'Coastal N Reductions'!BS69", 9839.99999999277)</f>
        <v>9839.9999999927695</v>
      </c>
      <c r="AD333" s="28">
        <f>HYPERLINK("[P Only with New retention and Differentiation.xlsx]'Coastal N Reductions'!BS69", 9839.99999999277)</f>
        <v>9839.9999999927695</v>
      </c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43">
        <f>HYPERLINK("[P Only Old retention.xlsx]'Coastal N Reductions'!BP69", 743.302)</f>
        <v>743.30200000000002</v>
      </c>
      <c r="BB333" s="43">
        <f>HYPERLINK("[P Only New retention.xlsx]'Coastal N Reductions'!BP69", 754.922)</f>
        <v>754.92200000000003</v>
      </c>
      <c r="BC333" s="43">
        <f>HYPERLINK("[P Only with New retention and Differentiation.xlsx]'Coastal N Reductions'!BP69", 782.71)</f>
        <v>782.71</v>
      </c>
      <c r="BD333" s="41">
        <f>BB333-BA333</f>
        <v>11.620000000000005</v>
      </c>
      <c r="BE333" s="41">
        <f>BC333-BA333</f>
        <v>39.408000000000015</v>
      </c>
      <c r="BF333" s="13"/>
      <c r="BG333" s="13"/>
      <c r="BH333" s="13"/>
      <c r="BI333" s="13"/>
      <c r="BJ333" s="13"/>
    </row>
    <row r="334" spans="1:62" x14ac:dyDescent="0.55000000000000004">
      <c r="A334" s="30">
        <v>233</v>
      </c>
      <c r="B334" s="6" t="s">
        <v>257</v>
      </c>
      <c r="C334" s="40">
        <f>HYPERLINK("[P Only Old retention.xlsx]'Coastal N Reductions'!BD70", 4311.77)</f>
        <v>4311.7700000000004</v>
      </c>
      <c r="D334" s="40">
        <f>HYPERLINK("[P Only New retention.xlsx]'Coastal N Reductions'!BD70", 4312.1)</f>
        <v>4312.1000000000004</v>
      </c>
      <c r="E334" s="40">
        <f>HYPERLINK("[P Only with New retention and Differentiation.xlsx]'Coastal N Reductions'!BD70", 4312.1)</f>
        <v>4312.1000000000004</v>
      </c>
      <c r="F334" s="41">
        <f>D334-C334</f>
        <v>0.32999999999992724</v>
      </c>
      <c r="G334" s="41">
        <f>E334-C334</f>
        <v>0.32999999999992724</v>
      </c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40">
        <f>HYPERLINK("[P Only Old retention.xlsx]'Coastal N Reductions'!BF70", 700.692)</f>
        <v>700.69200000000001</v>
      </c>
      <c r="S334" s="40">
        <f>HYPERLINK("[P Only New retention.xlsx]'Coastal N Reductions'!BF70", 700.692)</f>
        <v>700.69200000000001</v>
      </c>
      <c r="T334" s="40">
        <f>HYPERLINK("[P Only with New retention and Differentiation.xlsx]'Coastal N Reductions'!BF70", 700.692)</f>
        <v>700.69200000000001</v>
      </c>
      <c r="U334" s="18"/>
      <c r="V334" s="18"/>
      <c r="W334" s="18"/>
      <c r="X334" s="18"/>
      <c r="Y334" s="18"/>
      <c r="Z334" s="18"/>
      <c r="AA334" s="18"/>
      <c r="AB334" s="26">
        <f>HYPERLINK("[P Only Old retention.xlsx]'Coastal N Reductions'!BS70", 2719.99999999392)</f>
        <v>2719.99999999392</v>
      </c>
      <c r="AC334" s="26">
        <f>HYPERLINK("[P Only New retention.xlsx]'Coastal N Reductions'!BS70", 2720)</f>
        <v>2720</v>
      </c>
      <c r="AD334" s="26">
        <f>HYPERLINK("[P Only with New retention and Differentiation.xlsx]'Coastal N Reductions'!BS70", 2720)</f>
        <v>2720</v>
      </c>
      <c r="AE334" s="16">
        <f>AC334-AB334</f>
        <v>6.0799720813520253E-9</v>
      </c>
      <c r="AF334" s="16">
        <f>AD334-AB334</f>
        <v>6.0799720813520253E-9</v>
      </c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40">
        <f>HYPERLINK("[P Only Old retention.xlsx]'Coastal N Reductions'!BP70", 191.472)</f>
        <v>191.47200000000001</v>
      </c>
      <c r="BB334" s="40">
        <f>HYPERLINK("[P Only New retention.xlsx]'Coastal N Reductions'!BP70", 174.626)</f>
        <v>174.626</v>
      </c>
      <c r="BC334" s="40">
        <f>HYPERLINK("[P Only with New retention and Differentiation.xlsx]'Coastal N Reductions'!BP70", 208.884)</f>
        <v>208.88399999999999</v>
      </c>
      <c r="BD334" s="42">
        <f>BB334-BA334</f>
        <v>-16.846000000000004</v>
      </c>
      <c r="BE334" s="41">
        <f>BC334-BA334</f>
        <v>17.411999999999978</v>
      </c>
      <c r="BF334" s="18"/>
      <c r="BG334" s="18"/>
      <c r="BH334" s="18"/>
      <c r="BI334" s="18"/>
      <c r="BJ334" s="18"/>
    </row>
    <row r="335" spans="1:62" x14ac:dyDescent="0.55000000000000004">
      <c r="A335" s="31">
        <v>234</v>
      </c>
      <c r="B335" s="5" t="s">
        <v>258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</row>
    <row r="336" spans="1:62" x14ac:dyDescent="0.55000000000000004">
      <c r="A336" s="30">
        <v>235</v>
      </c>
      <c r="B336" s="6" t="s">
        <v>259</v>
      </c>
      <c r="C336" s="40">
        <f>HYPERLINK("[P Only Old retention.xlsx]'Coastal N Reductions'!BD72", 135.66)</f>
        <v>135.66</v>
      </c>
      <c r="D336" s="40">
        <f>HYPERLINK("[P Only New retention.xlsx]'Coastal N Reductions'!BD72", 135.66)</f>
        <v>135.66</v>
      </c>
      <c r="E336" s="40">
        <f>HYPERLINK("[P Only with New retention and Differentiation.xlsx]'Coastal N Reductions'!BD72", 135.66)</f>
        <v>135.66</v>
      </c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40">
        <f>HYPERLINK("[P Only Old retention.xlsx]'Coastal N Reductions'!BF72", 17.174)</f>
        <v>17.173999999999999</v>
      </c>
      <c r="S336" s="40">
        <f>HYPERLINK("[P Only New retention.xlsx]'Coastal N Reductions'!BF72", 17.174)</f>
        <v>17.173999999999999</v>
      </c>
      <c r="T336" s="40">
        <f>HYPERLINK("[P Only with New retention and Differentiation.xlsx]'Coastal N Reductions'!BF72", 17.174)</f>
        <v>17.173999999999999</v>
      </c>
      <c r="U336" s="18"/>
      <c r="V336" s="18"/>
      <c r="W336" s="18"/>
      <c r="X336" s="18"/>
      <c r="Y336" s="18"/>
      <c r="Z336" s="18"/>
      <c r="AA336" s="18"/>
      <c r="AB336" s="26">
        <f>HYPERLINK("[P Only Old retention.xlsx]'Coastal N Reductions'!BS72", 20)</f>
        <v>20</v>
      </c>
      <c r="AC336" s="26">
        <f>HYPERLINK("[P Only New retention.xlsx]'Coastal N Reductions'!BS72", 20)</f>
        <v>20</v>
      </c>
      <c r="AD336" s="26">
        <f>HYPERLINK("[P Only with New retention and Differentiation.xlsx]'Coastal N Reductions'!BS72", 20)</f>
        <v>20</v>
      </c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</row>
    <row r="337" spans="1:62" x14ac:dyDescent="0.55000000000000004">
      <c r="A337" s="31">
        <v>236</v>
      </c>
      <c r="B337" s="5" t="s">
        <v>260</v>
      </c>
      <c r="C337" s="43">
        <f>HYPERLINK("[P Only Old retention.xlsx]'Coastal N Reductions'!BD73", 22.42)</f>
        <v>22.42</v>
      </c>
      <c r="D337" s="43">
        <f>HYPERLINK("[P Only New retention.xlsx]'Coastal N Reductions'!BD73", 22.42)</f>
        <v>22.42</v>
      </c>
      <c r="E337" s="43">
        <f>HYPERLINK("[P Only with New retention and Differentiation.xlsx]'Coastal N Reductions'!BD73", 22.42)</f>
        <v>22.42</v>
      </c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43">
        <f>HYPERLINK("[P Only Old retention.xlsx]'Coastal N Reductions'!BF73", 3.28)</f>
        <v>3.28</v>
      </c>
      <c r="S337" s="43">
        <f>HYPERLINK("[P Only New retention.xlsx]'Coastal N Reductions'!BF73", 3.28)</f>
        <v>3.28</v>
      </c>
      <c r="T337" s="43">
        <f>HYPERLINK("[P Only with New retention and Differentiation.xlsx]'Coastal N Reductions'!BF73", 3.28)</f>
        <v>3.28</v>
      </c>
      <c r="U337" s="13"/>
      <c r="V337" s="13"/>
      <c r="W337" s="13"/>
      <c r="X337" s="13"/>
      <c r="Y337" s="13"/>
      <c r="Z337" s="13"/>
      <c r="AA337" s="13"/>
      <c r="AB337" s="28">
        <f>HYPERLINK("[P Only Old retention.xlsx]'Coastal N Reductions'!BS73", 120)</f>
        <v>120</v>
      </c>
      <c r="AC337" s="28">
        <f>HYPERLINK("[P Only New retention.xlsx]'Coastal N Reductions'!BS73", 100)</f>
        <v>100</v>
      </c>
      <c r="AD337" s="28">
        <f>HYPERLINK("[P Only with New retention and Differentiation.xlsx]'Coastal N Reductions'!BS73", 120)</f>
        <v>120</v>
      </c>
      <c r="AE337" s="21">
        <f>AC337-AB337</f>
        <v>-20</v>
      </c>
      <c r="AF337" s="13"/>
      <c r="AG337" s="43">
        <f>HYPERLINK("[P Only Old retention.xlsx]'Coastal N Reductions'!BH73", 1.08)</f>
        <v>1.08</v>
      </c>
      <c r="AH337" s="43">
        <f>HYPERLINK("[P Only New retention.xlsx]'Coastal N Reductions'!BH73", 1.128)</f>
        <v>1.1279999999999999</v>
      </c>
      <c r="AI337" s="43">
        <f>HYPERLINK("[P Only with New retention and Differentiation.xlsx]'Coastal N Reductions'!BH73", 1.128)</f>
        <v>1.1279999999999999</v>
      </c>
      <c r="AJ337" s="41">
        <f>AH337-AG337</f>
        <v>4.7999999999999821E-2</v>
      </c>
      <c r="AK337" s="41">
        <f>AI337-AG337</f>
        <v>4.7999999999999821E-2</v>
      </c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43">
        <f>HYPERLINK("[P Only Old retention.xlsx]'Coastal N Reductions'!BP73", 28.7)</f>
        <v>28.7</v>
      </c>
      <c r="BB337" s="43">
        <f>HYPERLINK("[P Only New retention.xlsx]'Coastal N Reductions'!BP73", 22.814)</f>
        <v>22.814</v>
      </c>
      <c r="BC337" s="43">
        <f>HYPERLINK("[P Only with New retention and Differentiation.xlsx]'Coastal N Reductions'!BP73", 12.072)</f>
        <v>12.071999999999999</v>
      </c>
      <c r="BD337" s="42">
        <f>BB337-BA337</f>
        <v>-5.8859999999999992</v>
      </c>
      <c r="BE337" s="42">
        <f>BC337-BA337</f>
        <v>-16.628</v>
      </c>
      <c r="BF337" s="13"/>
      <c r="BG337" s="13"/>
      <c r="BH337" s="13"/>
      <c r="BI337" s="13"/>
      <c r="BJ337" s="13"/>
    </row>
    <row r="338" spans="1:62" x14ac:dyDescent="0.55000000000000004">
      <c r="A338" s="30">
        <v>238</v>
      </c>
      <c r="B338" s="6" t="s">
        <v>261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</row>
    <row r="339" spans="1:62" x14ac:dyDescent="0.55000000000000004">
      <c r="A339" s="23"/>
      <c r="B339" s="24" t="s">
        <v>133</v>
      </c>
      <c r="C339" s="44">
        <v>36253.369851252202</v>
      </c>
      <c r="D339" s="44">
        <v>36235.669851252198</v>
      </c>
      <c r="E339" s="44">
        <v>36167.139851252199</v>
      </c>
      <c r="F339" s="45">
        <f>D339-C339</f>
        <v>-17.700000000004366</v>
      </c>
      <c r="G339" s="45">
        <f>E339-C339</f>
        <v>-86.230000000003201</v>
      </c>
      <c r="H339" s="44"/>
      <c r="I339" s="44"/>
      <c r="J339" s="44"/>
      <c r="K339" s="45"/>
      <c r="L339" s="45"/>
      <c r="M339" s="44"/>
      <c r="N339" s="44"/>
      <c r="O339" s="44"/>
      <c r="P339" s="45"/>
      <c r="Q339" s="45"/>
      <c r="R339" s="44">
        <v>46563.431422137102</v>
      </c>
      <c r="S339" s="44">
        <v>46544.655422137097</v>
      </c>
      <c r="T339" s="44">
        <v>46521.625422137098</v>
      </c>
      <c r="U339" s="45">
        <f>S339-R339</f>
        <v>-18.776000000005297</v>
      </c>
      <c r="V339" s="45">
        <f>T339-R339</f>
        <v>-41.806000000004133</v>
      </c>
      <c r="W339" s="44"/>
      <c r="X339" s="44"/>
      <c r="Y339" s="44"/>
      <c r="Z339" s="45"/>
      <c r="AA339" s="45"/>
      <c r="AB339" s="25">
        <v>91479.999999908294</v>
      </c>
      <c r="AC339" s="25">
        <v>91409.999999952794</v>
      </c>
      <c r="AD339" s="25">
        <v>91469.999999952794</v>
      </c>
      <c r="AE339" s="45">
        <f>AC339-AB339</f>
        <v>-69.999999955500243</v>
      </c>
      <c r="AF339" s="45">
        <f>AD339-AB339</f>
        <v>-9.9999999555002432</v>
      </c>
      <c r="AG339" s="44">
        <v>2.8340000000000001</v>
      </c>
      <c r="AH339" s="44">
        <v>2.8380000000000001</v>
      </c>
      <c r="AI339" s="44">
        <v>2.8380000000000001</v>
      </c>
      <c r="AJ339" s="45">
        <f>AH339-AG339</f>
        <v>4.0000000000000036E-3</v>
      </c>
      <c r="AK339" s="45">
        <f>AI339-AG339</f>
        <v>4.0000000000000036E-3</v>
      </c>
      <c r="AL339" s="44"/>
      <c r="AM339" s="44"/>
      <c r="AN339" s="44"/>
      <c r="AO339" s="45"/>
      <c r="AP339" s="45"/>
      <c r="AQ339" s="44"/>
      <c r="AR339" s="44"/>
      <c r="AS339" s="44"/>
      <c r="AT339" s="45"/>
      <c r="AU339" s="45"/>
      <c r="AV339" s="44"/>
      <c r="AW339" s="44"/>
      <c r="AX339" s="44"/>
      <c r="AY339" s="45"/>
      <c r="AZ339" s="45"/>
      <c r="BA339" s="44">
        <v>9957.5059999999994</v>
      </c>
      <c r="BB339" s="44">
        <v>10191.611999999999</v>
      </c>
      <c r="BC339" s="44">
        <v>9668.9060000000009</v>
      </c>
      <c r="BD339" s="45">
        <f>BB339-BA339</f>
        <v>234.10599999999977</v>
      </c>
      <c r="BE339" s="45">
        <f>BC339-BA339</f>
        <v>-288.59999999999854</v>
      </c>
      <c r="BF339" s="25">
        <v>12</v>
      </c>
      <c r="BG339" s="25">
        <v>12</v>
      </c>
      <c r="BH339" s="25">
        <v>12</v>
      </c>
      <c r="BI339" s="45"/>
      <c r="BJ339" s="45"/>
    </row>
  </sheetData>
  <mergeCells count="29">
    <mergeCell ref="A1:B1"/>
    <mergeCell ref="C1:BJ1"/>
    <mergeCell ref="C2:G2"/>
    <mergeCell ref="H2:L2"/>
    <mergeCell ref="M2:Q2"/>
    <mergeCell ref="R2:V2"/>
    <mergeCell ref="W2:AA2"/>
    <mergeCell ref="AB2:AF2"/>
    <mergeCell ref="AG2:AK2"/>
    <mergeCell ref="AL2:AP2"/>
    <mergeCell ref="AQ2:AU2"/>
    <mergeCell ref="AV2:AZ2"/>
    <mergeCell ref="BA2:BE2"/>
    <mergeCell ref="BF2:BJ2"/>
    <mergeCell ref="BA3:BE3"/>
    <mergeCell ref="BF3:BJ3"/>
    <mergeCell ref="A5:BJ5"/>
    <mergeCell ref="A117:BJ117"/>
    <mergeCell ref="A229:BJ229"/>
    <mergeCell ref="AB3:AF3"/>
    <mergeCell ref="AG3:AK3"/>
    <mergeCell ref="AL3:AP3"/>
    <mergeCell ref="AQ3:AU3"/>
    <mergeCell ref="AV3:AZ3"/>
    <mergeCell ref="C3:G3"/>
    <mergeCell ref="H3:L3"/>
    <mergeCell ref="M3:Q3"/>
    <mergeCell ref="R3:V3"/>
    <mergeCell ref="W3:AA3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1353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Y7" sqref="AY7"/>
    </sheetView>
  </sheetViews>
  <sheetFormatPr defaultColWidth="8.68359375" defaultRowHeight="14.4" x14ac:dyDescent="0.55000000000000004"/>
  <cols>
    <col min="1" max="1" width="7" customWidth="1"/>
    <col min="2" max="2" width="28" customWidth="1"/>
    <col min="3" max="5" width="10" customWidth="1"/>
    <col min="6" max="7" width="9" customWidth="1"/>
    <col min="8" max="10" width="10" customWidth="1"/>
    <col min="11" max="12" width="9" customWidth="1"/>
    <col min="13" max="15" width="10" customWidth="1"/>
    <col min="16" max="17" width="9" customWidth="1"/>
    <col min="18" max="20" width="10" customWidth="1"/>
    <col min="21" max="22" width="9" customWidth="1"/>
    <col min="23" max="25" width="10" customWidth="1"/>
    <col min="26" max="27" width="9" customWidth="1"/>
    <col min="28" max="30" width="10" customWidth="1"/>
    <col min="31" max="32" width="9" customWidth="1"/>
    <col min="33" max="35" width="10" customWidth="1"/>
    <col min="36" max="37" width="9" customWidth="1"/>
    <col min="38" max="40" width="10" customWidth="1"/>
    <col min="41" max="42" width="9" customWidth="1"/>
    <col min="43" max="45" width="10" customWidth="1"/>
    <col min="46" max="47" width="9" customWidth="1"/>
    <col min="48" max="50" width="10" customWidth="1"/>
    <col min="51" max="52" width="9" customWidth="1"/>
    <col min="53" max="55" width="10" customWidth="1"/>
    <col min="56" max="57" width="9" customWidth="1"/>
    <col min="58" max="60" width="10" customWidth="1"/>
    <col min="61" max="62" width="9" customWidth="1"/>
    <col min="63" max="65" width="10" customWidth="1"/>
    <col min="66" max="67" width="9" customWidth="1"/>
  </cols>
  <sheetData>
    <row r="1" spans="1:67" ht="18" customHeight="1" x14ac:dyDescent="0.55000000000000004">
      <c r="A1" s="49" t="s">
        <v>301</v>
      </c>
      <c r="B1" s="49"/>
      <c r="C1" s="50" t="s">
        <v>302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</row>
    <row r="2" spans="1:67" ht="18" customHeight="1" x14ac:dyDescent="0.55000000000000004">
      <c r="A2" s="35"/>
      <c r="B2" s="36"/>
      <c r="C2" s="72" t="s">
        <v>303</v>
      </c>
      <c r="D2" s="72"/>
      <c r="E2" s="72"/>
      <c r="F2" s="72"/>
      <c r="G2" s="72"/>
      <c r="H2" s="69" t="s">
        <v>304</v>
      </c>
      <c r="I2" s="69"/>
      <c r="J2" s="69"/>
      <c r="K2" s="69"/>
      <c r="L2" s="69"/>
      <c r="M2" s="72" t="s">
        <v>305</v>
      </c>
      <c r="N2" s="72"/>
      <c r="O2" s="72"/>
      <c r="P2" s="72"/>
      <c r="Q2" s="72"/>
      <c r="R2" s="70" t="s">
        <v>279</v>
      </c>
      <c r="S2" s="70"/>
      <c r="T2" s="70"/>
      <c r="U2" s="70"/>
      <c r="V2" s="70"/>
      <c r="W2" s="70" t="s">
        <v>306</v>
      </c>
      <c r="X2" s="70"/>
      <c r="Y2" s="70"/>
      <c r="Z2" s="70"/>
      <c r="AA2" s="70"/>
      <c r="AB2" s="70" t="s">
        <v>307</v>
      </c>
      <c r="AC2" s="70"/>
      <c r="AD2" s="70"/>
      <c r="AE2" s="70"/>
      <c r="AF2" s="70"/>
      <c r="AG2" s="72" t="s">
        <v>308</v>
      </c>
      <c r="AH2" s="72"/>
      <c r="AI2" s="72"/>
      <c r="AJ2" s="72"/>
      <c r="AK2" s="72"/>
      <c r="AL2" s="72" t="s">
        <v>309</v>
      </c>
      <c r="AM2" s="72"/>
      <c r="AN2" s="72"/>
      <c r="AO2" s="72"/>
      <c r="AP2" s="72"/>
      <c r="AQ2" s="69" t="s">
        <v>274</v>
      </c>
      <c r="AR2" s="69"/>
      <c r="AS2" s="69"/>
      <c r="AT2" s="69"/>
      <c r="AU2" s="69"/>
      <c r="AV2" s="67" t="s">
        <v>269</v>
      </c>
      <c r="AW2" s="67"/>
      <c r="AX2" s="67"/>
      <c r="AY2" s="67"/>
      <c r="AZ2" s="67"/>
      <c r="BA2" s="67" t="s">
        <v>272</v>
      </c>
      <c r="BB2" s="67"/>
      <c r="BC2" s="67"/>
      <c r="BD2" s="67"/>
      <c r="BE2" s="67"/>
      <c r="BF2" s="67" t="s">
        <v>273</v>
      </c>
      <c r="BG2" s="67"/>
      <c r="BH2" s="67"/>
      <c r="BI2" s="67"/>
      <c r="BJ2" s="67"/>
      <c r="BK2" s="67" t="s">
        <v>275</v>
      </c>
      <c r="BL2" s="67"/>
      <c r="BM2" s="67"/>
      <c r="BN2" s="67"/>
      <c r="BO2" s="67"/>
    </row>
    <row r="3" spans="1:67" ht="19.5" customHeight="1" x14ac:dyDescent="0.55000000000000004">
      <c r="A3" s="35"/>
      <c r="B3" s="36"/>
      <c r="C3" s="71" t="s">
        <v>310</v>
      </c>
      <c r="D3" s="71"/>
      <c r="E3" s="71"/>
      <c r="F3" s="71"/>
      <c r="G3" s="71"/>
      <c r="H3" s="64" t="s">
        <v>311</v>
      </c>
      <c r="I3" s="64"/>
      <c r="J3" s="64"/>
      <c r="K3" s="64"/>
      <c r="L3" s="64"/>
      <c r="M3" s="71" t="s">
        <v>312</v>
      </c>
      <c r="N3" s="71"/>
      <c r="O3" s="71"/>
      <c r="P3" s="71"/>
      <c r="Q3" s="71"/>
      <c r="R3" s="63" t="s">
        <v>291</v>
      </c>
      <c r="S3" s="63"/>
      <c r="T3" s="63"/>
      <c r="U3" s="63"/>
      <c r="V3" s="63"/>
      <c r="W3" s="63" t="s">
        <v>313</v>
      </c>
      <c r="X3" s="63"/>
      <c r="Y3" s="63"/>
      <c r="Z3" s="63"/>
      <c r="AA3" s="63"/>
      <c r="AB3" s="63" t="s">
        <v>314</v>
      </c>
      <c r="AC3" s="63"/>
      <c r="AD3" s="63"/>
      <c r="AE3" s="63"/>
      <c r="AF3" s="63"/>
      <c r="AG3" s="71" t="s">
        <v>315</v>
      </c>
      <c r="AH3" s="71"/>
      <c r="AI3" s="71"/>
      <c r="AJ3" s="71"/>
      <c r="AK3" s="71"/>
      <c r="AL3" s="71" t="s">
        <v>316</v>
      </c>
      <c r="AM3" s="71"/>
      <c r="AN3" s="71"/>
      <c r="AO3" s="71"/>
      <c r="AP3" s="71"/>
      <c r="AQ3" s="64" t="s">
        <v>286</v>
      </c>
      <c r="AR3" s="64"/>
      <c r="AS3" s="64"/>
      <c r="AT3" s="64"/>
      <c r="AU3" s="64"/>
      <c r="AV3" s="65" t="s">
        <v>281</v>
      </c>
      <c r="AW3" s="65"/>
      <c r="AX3" s="65"/>
      <c r="AY3" s="65"/>
      <c r="AZ3" s="65"/>
      <c r="BA3" s="65" t="s">
        <v>284</v>
      </c>
      <c r="BB3" s="65"/>
      <c r="BC3" s="65"/>
      <c r="BD3" s="65"/>
      <c r="BE3" s="65"/>
      <c r="BF3" s="65" t="s">
        <v>285</v>
      </c>
      <c r="BG3" s="65"/>
      <c r="BH3" s="65"/>
      <c r="BI3" s="65"/>
      <c r="BJ3" s="65"/>
      <c r="BK3" s="65" t="s">
        <v>287</v>
      </c>
      <c r="BL3" s="65"/>
      <c r="BM3" s="65"/>
      <c r="BN3" s="65"/>
      <c r="BO3" s="65"/>
    </row>
    <row r="4" spans="1:67" ht="18" customHeight="1" x14ac:dyDescent="0.55000000000000004">
      <c r="A4" s="37" t="s">
        <v>317</v>
      </c>
      <c r="B4" s="38" t="s">
        <v>318</v>
      </c>
      <c r="C4" s="1" t="s">
        <v>293</v>
      </c>
      <c r="D4" s="1" t="s">
        <v>294</v>
      </c>
      <c r="E4" s="1" t="s">
        <v>295</v>
      </c>
      <c r="F4" s="39" t="s">
        <v>296</v>
      </c>
      <c r="G4" s="39" t="s">
        <v>297</v>
      </c>
      <c r="H4" s="1" t="s">
        <v>293</v>
      </c>
      <c r="I4" s="1" t="s">
        <v>294</v>
      </c>
      <c r="J4" s="1" t="s">
        <v>295</v>
      </c>
      <c r="K4" s="39" t="s">
        <v>296</v>
      </c>
      <c r="L4" s="39" t="s">
        <v>297</v>
      </c>
      <c r="M4" s="1" t="s">
        <v>293</v>
      </c>
      <c r="N4" s="1" t="s">
        <v>294</v>
      </c>
      <c r="O4" s="1" t="s">
        <v>295</v>
      </c>
      <c r="P4" s="39" t="s">
        <v>296</v>
      </c>
      <c r="Q4" s="39" t="s">
        <v>297</v>
      </c>
      <c r="R4" s="1" t="s">
        <v>293</v>
      </c>
      <c r="S4" s="1" t="s">
        <v>294</v>
      </c>
      <c r="T4" s="1" t="s">
        <v>295</v>
      </c>
      <c r="U4" s="39" t="s">
        <v>296</v>
      </c>
      <c r="V4" s="39" t="s">
        <v>297</v>
      </c>
      <c r="W4" s="1" t="s">
        <v>293</v>
      </c>
      <c r="X4" s="1" t="s">
        <v>294</v>
      </c>
      <c r="Y4" s="1" t="s">
        <v>295</v>
      </c>
      <c r="Z4" s="39" t="s">
        <v>296</v>
      </c>
      <c r="AA4" s="39" t="s">
        <v>297</v>
      </c>
      <c r="AB4" s="1" t="s">
        <v>293</v>
      </c>
      <c r="AC4" s="1" t="s">
        <v>294</v>
      </c>
      <c r="AD4" s="1" t="s">
        <v>295</v>
      </c>
      <c r="AE4" s="39" t="s">
        <v>296</v>
      </c>
      <c r="AF4" s="39" t="s">
        <v>297</v>
      </c>
      <c r="AG4" s="1" t="s">
        <v>293</v>
      </c>
      <c r="AH4" s="1" t="s">
        <v>294</v>
      </c>
      <c r="AI4" s="1" t="s">
        <v>295</v>
      </c>
      <c r="AJ4" s="39" t="s">
        <v>296</v>
      </c>
      <c r="AK4" s="39" t="s">
        <v>297</v>
      </c>
      <c r="AL4" s="1" t="s">
        <v>293</v>
      </c>
      <c r="AM4" s="1" t="s">
        <v>294</v>
      </c>
      <c r="AN4" s="1" t="s">
        <v>295</v>
      </c>
      <c r="AO4" s="39" t="s">
        <v>296</v>
      </c>
      <c r="AP4" s="39" t="s">
        <v>297</v>
      </c>
      <c r="AQ4" s="1" t="s">
        <v>293</v>
      </c>
      <c r="AR4" s="1" t="s">
        <v>294</v>
      </c>
      <c r="AS4" s="1" t="s">
        <v>295</v>
      </c>
      <c r="AT4" s="39" t="s">
        <v>296</v>
      </c>
      <c r="AU4" s="39" t="s">
        <v>297</v>
      </c>
      <c r="AV4" s="1" t="s">
        <v>293</v>
      </c>
      <c r="AW4" s="1" t="s">
        <v>294</v>
      </c>
      <c r="AX4" s="1" t="s">
        <v>295</v>
      </c>
      <c r="AY4" s="39" t="s">
        <v>296</v>
      </c>
      <c r="AZ4" s="39" t="s">
        <v>297</v>
      </c>
      <c r="BA4" s="1" t="s">
        <v>293</v>
      </c>
      <c r="BB4" s="1" t="s">
        <v>294</v>
      </c>
      <c r="BC4" s="1" t="s">
        <v>295</v>
      </c>
      <c r="BD4" s="39" t="s">
        <v>296</v>
      </c>
      <c r="BE4" s="39" t="s">
        <v>297</v>
      </c>
      <c r="BF4" s="1" t="s">
        <v>293</v>
      </c>
      <c r="BG4" s="1" t="s">
        <v>294</v>
      </c>
      <c r="BH4" s="1" t="s">
        <v>295</v>
      </c>
      <c r="BI4" s="39" t="s">
        <v>296</v>
      </c>
      <c r="BJ4" s="39" t="s">
        <v>297</v>
      </c>
      <c r="BK4" s="1" t="s">
        <v>293</v>
      </c>
      <c r="BL4" s="1" t="s">
        <v>294</v>
      </c>
      <c r="BM4" s="1" t="s">
        <v>295</v>
      </c>
      <c r="BN4" s="39" t="s">
        <v>296</v>
      </c>
      <c r="BO4" s="39" t="s">
        <v>297</v>
      </c>
    </row>
    <row r="5" spans="1:67" ht="18" customHeight="1" x14ac:dyDescent="0.55000000000000004">
      <c r="A5" s="62" t="s">
        <v>298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</row>
    <row r="6" spans="1:67" x14ac:dyDescent="0.55000000000000004">
      <c r="A6" s="30">
        <v>26</v>
      </c>
      <c r="B6" s="6" t="s">
        <v>319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</row>
    <row r="7" spans="1:67" x14ac:dyDescent="0.55000000000000004">
      <c r="A7" s="31">
        <v>32</v>
      </c>
      <c r="B7" s="5" t="s">
        <v>320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29">
        <f>HYPERLINK("[N Only New retention.xlsx]'Lake P Results'!M3", 0.256)</f>
        <v>0.25600000000000001</v>
      </c>
      <c r="AX7" s="13"/>
      <c r="AY7" s="46">
        <f>AW7-AV7</f>
        <v>0.25600000000000001</v>
      </c>
      <c r="AZ7" s="13"/>
      <c r="BA7" s="13"/>
      <c r="BB7" s="13"/>
      <c r="BC7" s="29">
        <f>HYPERLINK("[N Only with New retention and Differentiation.xlsx]'Lake P Results'!O3", 0.256)</f>
        <v>0.25600000000000001</v>
      </c>
      <c r="BD7" s="13"/>
      <c r="BE7" s="46">
        <f>BC7-BA7</f>
        <v>0.25600000000000001</v>
      </c>
      <c r="BF7" s="13"/>
      <c r="BG7" s="13"/>
      <c r="BH7" s="13"/>
      <c r="BI7" s="13"/>
      <c r="BJ7" s="13"/>
      <c r="BK7" s="29">
        <f>HYPERLINK("[N Only Old retention.xlsx]'Lake P Results'!Q3", 0.028)</f>
        <v>2.8000000000000001E-2</v>
      </c>
      <c r="BL7" s="29">
        <f>HYPERLINK("[N Only New retention.xlsx]'Lake P Results'!Q3", 3.014)</f>
        <v>3.0139999999999998</v>
      </c>
      <c r="BM7" s="29">
        <f>HYPERLINK("[N Only with New retention and Differentiation.xlsx]'Lake P Results'!Q3", 3.264)</f>
        <v>3.2639999999999998</v>
      </c>
      <c r="BN7" s="46">
        <f>BL7-BK7</f>
        <v>2.9859999999999998</v>
      </c>
      <c r="BO7" s="46">
        <f>BM7-BK7</f>
        <v>3.2359999999999998</v>
      </c>
    </row>
    <row r="8" spans="1:67" x14ac:dyDescent="0.55000000000000004">
      <c r="A8" s="30">
        <v>34</v>
      </c>
      <c r="B8" s="6" t="s">
        <v>321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27">
        <f>HYPERLINK("[N Only Old retention.xlsx]'Lake P Results'!M4", 22.742)</f>
        <v>22.742000000000001</v>
      </c>
      <c r="AW8" s="27">
        <f>HYPERLINK("[N Only New retention.xlsx]'Lake P Results'!M4", 15.382)</f>
        <v>15.382</v>
      </c>
      <c r="AX8" s="27">
        <f>HYPERLINK("[N Only with New retention and Differentiation.xlsx]'Lake P Results'!M4", 15.382)</f>
        <v>15.382</v>
      </c>
      <c r="AY8" s="47">
        <f>AW8-AV8</f>
        <v>-7.3600000000000012</v>
      </c>
      <c r="AZ8" s="47">
        <f>AX8-AV8</f>
        <v>-7.3600000000000012</v>
      </c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</row>
    <row r="9" spans="1:67" x14ac:dyDescent="0.55000000000000004">
      <c r="A9" s="31">
        <v>36</v>
      </c>
      <c r="B9" s="5" t="s">
        <v>322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1:67" x14ac:dyDescent="0.55000000000000004">
      <c r="A10" s="30">
        <v>37</v>
      </c>
      <c r="B10" s="6" t="s">
        <v>323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</row>
    <row r="11" spans="1:67" x14ac:dyDescent="0.55000000000000004">
      <c r="A11" s="31">
        <v>38</v>
      </c>
      <c r="B11" s="5" t="s">
        <v>324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</row>
    <row r="12" spans="1:67" x14ac:dyDescent="0.55000000000000004">
      <c r="A12" s="30">
        <v>43</v>
      </c>
      <c r="B12" s="6" t="s">
        <v>325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</row>
    <row r="13" spans="1:67" x14ac:dyDescent="0.55000000000000004">
      <c r="A13" s="31">
        <v>50</v>
      </c>
      <c r="B13" s="5" t="s">
        <v>326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29">
        <f>HYPERLINK("[N Only New retention.xlsx]'Lake P Results'!R9", 0.0399999999999999)</f>
        <v>3.9999999999999897E-2</v>
      </c>
      <c r="BH13" s="29">
        <f>HYPERLINK("[N Only with New retention and Differentiation.xlsx]'Lake P Results'!R9", 0.0399999999999999)</f>
        <v>3.9999999999999897E-2</v>
      </c>
      <c r="BI13" s="46">
        <f>BG13-BF13</f>
        <v>3.9999999999999897E-2</v>
      </c>
      <c r="BJ13" s="46">
        <f>BH13-BF13</f>
        <v>3.9999999999999897E-2</v>
      </c>
      <c r="BK13" s="29">
        <f>HYPERLINK("[N Only Old retention.xlsx]'Lake P Results'!Q9", 2.24)</f>
        <v>2.2400000000000002</v>
      </c>
      <c r="BL13" s="29">
        <f>HYPERLINK("[N Only New retention.xlsx]'Lake P Results'!Q9", 0.650000000000001)</f>
        <v>0.65000000000000102</v>
      </c>
      <c r="BM13" s="29">
        <f>HYPERLINK("[N Only with New retention and Differentiation.xlsx]'Lake P Results'!Q9", 0.650000000000001)</f>
        <v>0.65000000000000102</v>
      </c>
      <c r="BN13" s="47">
        <f>BL13-BK13</f>
        <v>-1.5899999999999992</v>
      </c>
      <c r="BO13" s="47">
        <f>BM13-BK13</f>
        <v>-1.5899999999999992</v>
      </c>
    </row>
    <row r="14" spans="1:67" x14ac:dyDescent="0.55000000000000004">
      <c r="A14" s="30">
        <v>51</v>
      </c>
      <c r="B14" s="6" t="s">
        <v>327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27">
        <f>HYPERLINK("[N Only Old retention.xlsx]'Lake P Results'!M10", 9.07)</f>
        <v>9.07</v>
      </c>
      <c r="AW14" s="27">
        <f>HYPERLINK("[N Only New retention.xlsx]'Lake P Results'!M10", 15.9)</f>
        <v>15.9</v>
      </c>
      <c r="AX14" s="27">
        <f>HYPERLINK("[N Only with New retention and Differentiation.xlsx]'Lake P Results'!M10", 15.9)</f>
        <v>15.9</v>
      </c>
      <c r="AY14" s="46">
        <f>AW14-AV14</f>
        <v>6.83</v>
      </c>
      <c r="AZ14" s="46">
        <f>AX14-AV14</f>
        <v>6.83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27">
        <f>HYPERLINK("[N Only Old retention.xlsx]'Lake P Results'!Q10", 3.75)</f>
        <v>3.75</v>
      </c>
      <c r="BL14" s="27">
        <f>HYPERLINK("[N Only New retention.xlsx]'Lake P Results'!Q10", 2.52)</f>
        <v>2.52</v>
      </c>
      <c r="BM14" s="27">
        <f>HYPERLINK("[N Only with New retention and Differentiation.xlsx]'Lake P Results'!Q10", 2.52)</f>
        <v>2.52</v>
      </c>
      <c r="BN14" s="47">
        <f>BL14-BK14</f>
        <v>-1.23</v>
      </c>
      <c r="BO14" s="47">
        <f>BM14-BK14</f>
        <v>-1.23</v>
      </c>
    </row>
    <row r="15" spans="1:67" x14ac:dyDescent="0.55000000000000004">
      <c r="A15" s="31">
        <v>52</v>
      </c>
      <c r="B15" s="5" t="s">
        <v>328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29">
        <f>HYPERLINK("[N Only Old retention.xlsx]'Lake P Results'!M11", 146.615999999942)</f>
        <v>146.61599999994201</v>
      </c>
      <c r="AW15" s="29">
        <f>HYPERLINK("[N Only New retention.xlsx]'Lake P Results'!M11", 24.856)</f>
        <v>24.856000000000002</v>
      </c>
      <c r="AX15" s="29">
        <f>HYPERLINK("[N Only with New retention and Differentiation.xlsx]'Lake P Results'!M11", 24.856)</f>
        <v>24.856000000000002</v>
      </c>
      <c r="AY15" s="47">
        <f>AW15-AV15</f>
        <v>-121.75999999994201</v>
      </c>
      <c r="AZ15" s="47">
        <f>AX15-AV15</f>
        <v>-121.75999999994201</v>
      </c>
      <c r="BA15" s="29">
        <f>HYPERLINK("[N Only Old retention.xlsx]'Lake P Results'!O11", 24.61)</f>
        <v>24.61</v>
      </c>
      <c r="BB15" s="29">
        <f>HYPERLINK("[N Only New retention.xlsx]'Lake P Results'!O11", 15.98)</f>
        <v>15.98</v>
      </c>
      <c r="BC15" s="29">
        <f>HYPERLINK("[N Only with New retention and Differentiation.xlsx]'Lake P Results'!O11", 15.98)</f>
        <v>15.98</v>
      </c>
      <c r="BD15" s="47">
        <f>BB15-BA15</f>
        <v>-8.629999999999999</v>
      </c>
      <c r="BE15" s="47">
        <f>BC15-BA15</f>
        <v>-8.629999999999999</v>
      </c>
      <c r="BF15" s="29">
        <f>HYPERLINK("[N Only Old retention.xlsx]'Lake P Results'!R11", 71.284)</f>
        <v>71.284000000000006</v>
      </c>
      <c r="BG15" s="29">
        <f>HYPERLINK("[N Only New retention.xlsx]'Lake P Results'!R11", 73.17)</f>
        <v>73.17</v>
      </c>
      <c r="BH15" s="29">
        <f>HYPERLINK("[N Only with New retention and Differentiation.xlsx]'Lake P Results'!R11", 73.194)</f>
        <v>73.194000000000003</v>
      </c>
      <c r="BI15" s="46">
        <f>BG15-BF15</f>
        <v>1.8859999999999957</v>
      </c>
      <c r="BJ15" s="46">
        <f>BH15-BF15</f>
        <v>1.9099999999999966</v>
      </c>
      <c r="BK15" s="13"/>
      <c r="BL15" s="29">
        <f>HYPERLINK("[N Only New retention.xlsx]'Lake P Results'!Q11", 4.39)</f>
        <v>4.3899999999999997</v>
      </c>
      <c r="BM15" s="29">
        <f>HYPERLINK("[N Only with New retention and Differentiation.xlsx]'Lake P Results'!Q11", 4.39)</f>
        <v>4.3899999999999997</v>
      </c>
      <c r="BN15" s="46">
        <f>BL15-BK15</f>
        <v>4.3899999999999997</v>
      </c>
      <c r="BO15" s="46">
        <f>BM15-BK15</f>
        <v>4.3899999999999997</v>
      </c>
    </row>
    <row r="16" spans="1:67" x14ac:dyDescent="0.55000000000000004">
      <c r="A16" s="30">
        <v>53</v>
      </c>
      <c r="B16" s="6" t="s">
        <v>329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27">
        <f>HYPERLINK("[N Only Old retention.xlsx]'Lake P Results'!O12", 137.039999999972)</f>
        <v>137.039999999972</v>
      </c>
      <c r="BB16" s="27">
        <f>HYPERLINK("[N Only New retention.xlsx]'Lake P Results'!O12", 4.91)</f>
        <v>4.91</v>
      </c>
      <c r="BC16" s="27">
        <f>HYPERLINK("[N Only with New retention and Differentiation.xlsx]'Lake P Results'!O12", 4.91)</f>
        <v>4.91</v>
      </c>
      <c r="BD16" s="47">
        <f>BB16-BA16</f>
        <v>-132.129999999972</v>
      </c>
      <c r="BE16" s="47">
        <f>BC16-BA16</f>
        <v>-132.129999999972</v>
      </c>
      <c r="BF16" s="27">
        <f>HYPERLINK("[N Only Old retention.xlsx]'Lake P Results'!R12", 1.01)</f>
        <v>1.01</v>
      </c>
      <c r="BG16" s="18"/>
      <c r="BH16" s="18"/>
      <c r="BI16" s="47">
        <f>BG16-BF16</f>
        <v>-1.01</v>
      </c>
      <c r="BJ16" s="47">
        <f>BH16-BF16</f>
        <v>-1.01</v>
      </c>
      <c r="BK16" s="27">
        <f>HYPERLINK("[N Only Old retention.xlsx]'Lake P Results'!Q12", 13.73)</f>
        <v>13.73</v>
      </c>
      <c r="BL16" s="27">
        <f>HYPERLINK("[N Only New retention.xlsx]'Lake P Results'!Q12", 7.53)</f>
        <v>7.53</v>
      </c>
      <c r="BM16" s="27">
        <f>HYPERLINK("[N Only with New retention and Differentiation.xlsx]'Lake P Results'!Q12", 8.41)</f>
        <v>8.41</v>
      </c>
      <c r="BN16" s="47">
        <f>BL16-BK16</f>
        <v>-6.2</v>
      </c>
      <c r="BO16" s="47">
        <f>BM16-BK16</f>
        <v>-5.32</v>
      </c>
    </row>
    <row r="17" spans="1:67" x14ac:dyDescent="0.55000000000000004">
      <c r="A17" s="31">
        <v>58</v>
      </c>
      <c r="B17" s="5" t="s">
        <v>330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</row>
    <row r="18" spans="1:67" x14ac:dyDescent="0.55000000000000004">
      <c r="A18" s="30">
        <v>59</v>
      </c>
      <c r="B18" s="6" t="s">
        <v>331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</row>
    <row r="19" spans="1:67" x14ac:dyDescent="0.55000000000000004">
      <c r="A19" s="31">
        <v>63</v>
      </c>
      <c r="B19" s="5" t="s">
        <v>332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29">
        <f>HYPERLINK("[N Only New retention.xlsx]'Lake P Results'!Q15", 0.880000000000001)</f>
        <v>0.880000000000001</v>
      </c>
      <c r="BM19" s="29">
        <f>HYPERLINK("[N Only with New retention and Differentiation.xlsx]'Lake P Results'!Q15", 0.880000000000001)</f>
        <v>0.880000000000001</v>
      </c>
      <c r="BN19" s="46">
        <f>BL19-BK19</f>
        <v>0.880000000000001</v>
      </c>
      <c r="BO19" s="46">
        <f>BM19-BK19</f>
        <v>0.880000000000001</v>
      </c>
    </row>
    <row r="20" spans="1:67" x14ac:dyDescent="0.55000000000000004">
      <c r="A20" s="30">
        <v>65</v>
      </c>
      <c r="B20" s="6" t="s">
        <v>333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27">
        <f>HYPERLINK("[N Only with New retention and Differentiation.xlsx]'Lake P Results'!M16", 273.512)</f>
        <v>273.512</v>
      </c>
      <c r="AY20" s="18"/>
      <c r="AZ20" s="46">
        <f>AX20-AV20</f>
        <v>273.512</v>
      </c>
      <c r="BA20" s="27">
        <f>HYPERLINK("[N Only Old retention.xlsx]'Lake P Results'!O16", 116.591999999938)</f>
        <v>116.591999999938</v>
      </c>
      <c r="BB20" s="27">
        <f>HYPERLINK("[N Only New retention.xlsx]'Lake P Results'!O16", 317.792)</f>
        <v>317.79199999999997</v>
      </c>
      <c r="BC20" s="27">
        <f>HYPERLINK("[N Only with New retention and Differentiation.xlsx]'Lake P Results'!O16", 32.67)</f>
        <v>32.67</v>
      </c>
      <c r="BD20" s="46">
        <f>BB20-BA20</f>
        <v>201.20000000006198</v>
      </c>
      <c r="BE20" s="47">
        <f>BC20-BA20</f>
        <v>-83.921999999937995</v>
      </c>
      <c r="BF20" s="27">
        <f>HYPERLINK("[N Only Old retention.xlsx]'Lake P Results'!R16", 92.126)</f>
        <v>92.126000000000005</v>
      </c>
      <c r="BG20" s="27">
        <f>HYPERLINK("[N Only New retention.xlsx]'Lake P Results'!R16", 86.816)</f>
        <v>86.816000000000003</v>
      </c>
      <c r="BH20" s="27">
        <f>HYPERLINK("[N Only with New retention and Differentiation.xlsx]'Lake P Results'!R16", 88.536)</f>
        <v>88.536000000000001</v>
      </c>
      <c r="BI20" s="47">
        <f>BG20-BF20</f>
        <v>-5.3100000000000023</v>
      </c>
      <c r="BJ20" s="47">
        <f>BH20-BF20</f>
        <v>-3.5900000000000034</v>
      </c>
      <c r="BK20" s="27">
        <f>HYPERLINK("[N Only Old retention.xlsx]'Lake P Results'!Q16", 66.016)</f>
        <v>66.016000000000005</v>
      </c>
      <c r="BL20" s="27">
        <f>HYPERLINK("[N Only New retention.xlsx]'Lake P Results'!Q16", 54.03)</f>
        <v>54.03</v>
      </c>
      <c r="BM20" s="27">
        <f>HYPERLINK("[N Only with New retention and Differentiation.xlsx]'Lake P Results'!Q16", 55.21)</f>
        <v>55.21</v>
      </c>
      <c r="BN20" s="47">
        <f>BL20-BK20</f>
        <v>-11.986000000000004</v>
      </c>
      <c r="BO20" s="47">
        <f>BM20-BK20</f>
        <v>-10.806000000000004</v>
      </c>
    </row>
    <row r="21" spans="1:67" x14ac:dyDescent="0.55000000000000004">
      <c r="A21" s="31">
        <v>69</v>
      </c>
      <c r="B21" s="5" t="s">
        <v>334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</row>
    <row r="22" spans="1:67" x14ac:dyDescent="0.55000000000000004">
      <c r="A22" s="30">
        <v>85</v>
      </c>
      <c r="B22" s="6" t="s">
        <v>335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27">
        <f>HYPERLINK("[N Only Old retention.xlsx]'Lake P Results'!M18", 337.587999999962)</f>
        <v>337.58799999996199</v>
      </c>
      <c r="AW22" s="27">
        <f>HYPERLINK("[N Only New retention.xlsx]'Lake P Results'!M18", 383.478)</f>
        <v>383.47800000000001</v>
      </c>
      <c r="AX22" s="27">
        <f>HYPERLINK("[N Only with New retention and Differentiation.xlsx]'Lake P Results'!M18", 383.478)</f>
        <v>383.47800000000001</v>
      </c>
      <c r="AY22" s="46">
        <f>AW22-AV22</f>
        <v>45.890000000038015</v>
      </c>
      <c r="AZ22" s="46">
        <f>AX22-AV22</f>
        <v>45.890000000038015</v>
      </c>
      <c r="BA22" s="27">
        <f>HYPERLINK("[N Only Old retention.xlsx]'Lake P Results'!O18", 2.9)</f>
        <v>2.9</v>
      </c>
      <c r="BB22" s="27">
        <f>HYPERLINK("[N Only New retention.xlsx]'Lake P Results'!O18", 2.9)</f>
        <v>2.9</v>
      </c>
      <c r="BC22" s="27">
        <f>HYPERLINK("[N Only with New retention and Differentiation.xlsx]'Lake P Results'!O18", 2.9)</f>
        <v>2.9</v>
      </c>
      <c r="BD22" s="18"/>
      <c r="BE22" s="18"/>
      <c r="BF22" s="27">
        <f>HYPERLINK("[N Only Old retention.xlsx]'Lake P Results'!R18", 3.23)</f>
        <v>3.23</v>
      </c>
      <c r="BG22" s="27">
        <f>HYPERLINK("[N Only New retention.xlsx]'Lake P Results'!R18", 0.690000000000001)</f>
        <v>0.69000000000000095</v>
      </c>
      <c r="BH22" s="27">
        <f>HYPERLINK("[N Only with New retention and Differentiation.xlsx]'Lake P Results'!R18", 0.690000000000001)</f>
        <v>0.69000000000000095</v>
      </c>
      <c r="BI22" s="47">
        <f>BG22-BF22</f>
        <v>-2.5399999999999991</v>
      </c>
      <c r="BJ22" s="47">
        <f>BH22-BF22</f>
        <v>-2.5399999999999991</v>
      </c>
      <c r="BK22" s="27">
        <f>HYPERLINK("[N Only Old retention.xlsx]'Lake P Results'!Q18", 17.66)</f>
        <v>17.66</v>
      </c>
      <c r="BL22" s="27">
        <f>HYPERLINK("[N Only New retention.xlsx]'Lake P Results'!Q18", 7.08)</f>
        <v>7.08</v>
      </c>
      <c r="BM22" s="27">
        <f>HYPERLINK("[N Only with New retention and Differentiation.xlsx]'Lake P Results'!Q18", 7.08)</f>
        <v>7.08</v>
      </c>
      <c r="BN22" s="47">
        <f>BL22-BK22</f>
        <v>-10.58</v>
      </c>
      <c r="BO22" s="47">
        <f>BM22-BK22</f>
        <v>-10.58</v>
      </c>
    </row>
    <row r="23" spans="1:67" x14ac:dyDescent="0.55000000000000004">
      <c r="A23" s="31">
        <v>89</v>
      </c>
      <c r="B23" s="5" t="s">
        <v>336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</row>
    <row r="24" spans="1:67" x14ac:dyDescent="0.55000000000000004">
      <c r="A24" s="30">
        <v>91</v>
      </c>
      <c r="B24" s="6" t="s">
        <v>337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27">
        <f>HYPERLINK("[N Only Old retention.xlsx]'Lake P Results'!M20", 5.19)</f>
        <v>5.19</v>
      </c>
      <c r="AW24" s="27">
        <f>HYPERLINK("[N Only New retention.xlsx]'Lake P Results'!M20", 8.24)</f>
        <v>8.24</v>
      </c>
      <c r="AX24" s="27">
        <f>HYPERLINK("[N Only with New retention and Differentiation.xlsx]'Lake P Results'!M20", 24.23)</f>
        <v>24.23</v>
      </c>
      <c r="AY24" s="46">
        <f>AW24-AV24</f>
        <v>3.05</v>
      </c>
      <c r="AZ24" s="46">
        <f>AX24-AV24</f>
        <v>19.04</v>
      </c>
      <c r="BA24" s="27">
        <f>HYPERLINK("[N Only Old retention.xlsx]'Lake P Results'!O20", 24.7799999999214)</f>
        <v>24.779999999921401</v>
      </c>
      <c r="BB24" s="27">
        <f>HYPERLINK("[N Only New retention.xlsx]'Lake P Results'!O20", 24.7799999999594)</f>
        <v>24.779999999959401</v>
      </c>
      <c r="BC24" s="27">
        <f>HYPERLINK("[N Only with New retention and Differentiation.xlsx]'Lake P Results'!O20", 23.03)</f>
        <v>23.03</v>
      </c>
      <c r="BD24" s="46">
        <f>BB24-BA24</f>
        <v>3.7999825508450158E-11</v>
      </c>
      <c r="BE24" s="47">
        <f>BC24-BA24</f>
        <v>-1.7499999999213998</v>
      </c>
      <c r="BF24" s="27">
        <f>HYPERLINK("[N Only Old retention.xlsx]'Lake P Results'!R20", 2.09)</f>
        <v>2.09</v>
      </c>
      <c r="BG24" s="27">
        <f>HYPERLINK("[N Only New retention.xlsx]'Lake P Results'!R20", 2.09)</f>
        <v>2.09</v>
      </c>
      <c r="BH24" s="27">
        <f>HYPERLINK("[N Only with New retention and Differentiation.xlsx]'Lake P Results'!R20", 2.09)</f>
        <v>2.09</v>
      </c>
      <c r="BI24" s="18"/>
      <c r="BJ24" s="18"/>
      <c r="BK24" s="27">
        <f>HYPERLINK("[N Only Old retention.xlsx]'Lake P Results'!Q20", 1.61)</f>
        <v>1.61</v>
      </c>
      <c r="BL24" s="27">
        <f>HYPERLINK("[N Only New retention.xlsx]'Lake P Results'!Q20", 0.900000000000003)</f>
        <v>0.90000000000000302</v>
      </c>
      <c r="BM24" s="27">
        <f>HYPERLINK("[N Only with New retention and Differentiation.xlsx]'Lake P Results'!Q20", 0.900000000000003)</f>
        <v>0.90000000000000302</v>
      </c>
      <c r="BN24" s="47">
        <f>BL24-BK24</f>
        <v>-0.70999999999999708</v>
      </c>
      <c r="BO24" s="47">
        <f>BM24-BK24</f>
        <v>-0.70999999999999708</v>
      </c>
    </row>
    <row r="25" spans="1:67" x14ac:dyDescent="0.55000000000000004">
      <c r="A25" s="31">
        <v>96</v>
      </c>
      <c r="B25" s="5" t="s">
        <v>338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</row>
    <row r="26" spans="1:67" x14ac:dyDescent="0.55000000000000004">
      <c r="A26" s="30">
        <v>101</v>
      </c>
      <c r="B26" s="6" t="s">
        <v>339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27">
        <f>HYPERLINK("[N Only Old retention.xlsx]'Lake P Results'!M22", 247.10999999987)</f>
        <v>247.10999999987001</v>
      </c>
      <c r="AW26" s="27">
        <f>HYPERLINK("[N Only New retention.xlsx]'Lake P Results'!M22", 249.85)</f>
        <v>249.85</v>
      </c>
      <c r="AX26" s="27">
        <f>HYPERLINK("[N Only with New retention and Differentiation.xlsx]'Lake P Results'!M22", 248.58)</f>
        <v>248.58</v>
      </c>
      <c r="AY26" s="46">
        <f>AW26-AV26</f>
        <v>2.7400000001299816</v>
      </c>
      <c r="AZ26" s="46">
        <f>AX26-AV26</f>
        <v>1.4700000001299998</v>
      </c>
      <c r="BA26" s="27">
        <f>HYPERLINK("[N Only Old retention.xlsx]'Lake P Results'!O22", 1.49)</f>
        <v>1.49</v>
      </c>
      <c r="BB26" s="27">
        <f>HYPERLINK("[N Only New retention.xlsx]'Lake P Results'!O22", 1.49)</f>
        <v>1.49</v>
      </c>
      <c r="BC26" s="18"/>
      <c r="BD26" s="18"/>
      <c r="BE26" s="47">
        <f>BC26-BA26</f>
        <v>-1.49</v>
      </c>
      <c r="BF26" s="27">
        <f>HYPERLINK("[N Only Old retention.xlsx]'Lake P Results'!R22", 3.77)</f>
        <v>3.77</v>
      </c>
      <c r="BG26" s="27">
        <f>HYPERLINK("[N Only New retention.xlsx]'Lake P Results'!R22", 3.77)</f>
        <v>3.77</v>
      </c>
      <c r="BH26" s="27">
        <f>HYPERLINK("[N Only with New retention and Differentiation.xlsx]'Lake P Results'!R22", 3.77)</f>
        <v>3.77</v>
      </c>
      <c r="BI26" s="18"/>
      <c r="BJ26" s="18"/>
      <c r="BK26" s="27">
        <f>HYPERLINK("[N Only Old retention.xlsx]'Lake P Results'!Q22", 1.33)</f>
        <v>1.33</v>
      </c>
      <c r="BL26" s="27">
        <f>HYPERLINK("[N Only New retention.xlsx]'Lake P Results'!Q22", 2.42)</f>
        <v>2.42</v>
      </c>
      <c r="BM26" s="27">
        <f>HYPERLINK("[N Only with New retention and Differentiation.xlsx]'Lake P Results'!Q22", 2.42)</f>
        <v>2.42</v>
      </c>
      <c r="BN26" s="46">
        <f>BL26-BK26</f>
        <v>1.0899999999999999</v>
      </c>
      <c r="BO26" s="46">
        <f>BM26-BK26</f>
        <v>1.0899999999999999</v>
      </c>
    </row>
    <row r="27" spans="1:67" x14ac:dyDescent="0.55000000000000004">
      <c r="A27" s="31">
        <v>102</v>
      </c>
      <c r="B27" s="5" t="s">
        <v>340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29">
        <f>HYPERLINK("[N Only Old retention.xlsx]'Lake P Results'!M23", 248.229999999971)</f>
        <v>248.229999999971</v>
      </c>
      <c r="AW27" s="29">
        <f>HYPERLINK("[N Only New retention.xlsx]'Lake P Results'!M23", 190.764)</f>
        <v>190.76400000000001</v>
      </c>
      <c r="AX27" s="29">
        <f>HYPERLINK("[N Only with New retention and Differentiation.xlsx]'Lake P Results'!M23", 190.764)</f>
        <v>190.76400000000001</v>
      </c>
      <c r="AY27" s="47">
        <f>AW27-AV27</f>
        <v>-57.46599999997099</v>
      </c>
      <c r="AZ27" s="47">
        <f>AX27-AV27</f>
        <v>-57.46599999997099</v>
      </c>
      <c r="BA27" s="13"/>
      <c r="BB27" s="13"/>
      <c r="BC27" s="13"/>
      <c r="BD27" s="13"/>
      <c r="BE27" s="13"/>
      <c r="BF27" s="29">
        <f>HYPERLINK("[N Only Old retention.xlsx]'Lake P Results'!R23", 9.51)</f>
        <v>9.51</v>
      </c>
      <c r="BG27" s="29">
        <f>HYPERLINK("[N Only New retention.xlsx]'Lake P Results'!R23", 9.51)</f>
        <v>9.51</v>
      </c>
      <c r="BH27" s="29">
        <f>HYPERLINK("[N Only with New retention and Differentiation.xlsx]'Lake P Results'!R23", 9.51)</f>
        <v>9.51</v>
      </c>
      <c r="BI27" s="13"/>
      <c r="BJ27" s="13"/>
      <c r="BK27" s="13"/>
      <c r="BL27" s="29">
        <f>HYPERLINK("[N Only New retention.xlsx]'Lake P Results'!Q23", 3.08)</f>
        <v>3.08</v>
      </c>
      <c r="BM27" s="29">
        <f>HYPERLINK("[N Only with New retention and Differentiation.xlsx]'Lake P Results'!Q23", 3.08)</f>
        <v>3.08</v>
      </c>
      <c r="BN27" s="46">
        <f>BL27-BK27</f>
        <v>3.08</v>
      </c>
      <c r="BO27" s="46">
        <f>BM27-BK27</f>
        <v>3.08</v>
      </c>
    </row>
    <row r="28" spans="1:67" x14ac:dyDescent="0.55000000000000004">
      <c r="A28" s="30">
        <v>105</v>
      </c>
      <c r="B28" s="6" t="s">
        <v>341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27">
        <f>HYPERLINK("[N Only Old retention.xlsx]'Lake P Results'!M24", 2.87)</f>
        <v>2.87</v>
      </c>
      <c r="AW28" s="27">
        <f>HYPERLINK("[N Only New retention.xlsx]'Lake P Results'!M24", 8.34)</f>
        <v>8.34</v>
      </c>
      <c r="AX28" s="27">
        <f>HYPERLINK("[N Only with New retention and Differentiation.xlsx]'Lake P Results'!M24", 8.34)</f>
        <v>8.34</v>
      </c>
      <c r="AY28" s="46">
        <f>AW28-AV28</f>
        <v>5.47</v>
      </c>
      <c r="AZ28" s="46">
        <f>AX28-AV28</f>
        <v>5.47</v>
      </c>
      <c r="BA28" s="18"/>
      <c r="BB28" s="18"/>
      <c r="BC28" s="18"/>
      <c r="BD28" s="18"/>
      <c r="BE28" s="18"/>
      <c r="BF28" s="27">
        <f>HYPERLINK("[N Only Old retention.xlsx]'Lake P Results'!R24", 5.30000000000001)</f>
        <v>5.3000000000000096</v>
      </c>
      <c r="BG28" s="27">
        <f>HYPERLINK("[N Only New retention.xlsx]'Lake P Results'!R24", 5.30000000000001)</f>
        <v>5.3000000000000096</v>
      </c>
      <c r="BH28" s="27">
        <f>HYPERLINK("[N Only with New retention and Differentiation.xlsx]'Lake P Results'!R24", 5.30000000000001)</f>
        <v>5.3000000000000096</v>
      </c>
      <c r="BI28" s="18"/>
      <c r="BJ28" s="18"/>
      <c r="BK28" s="18"/>
      <c r="BL28" s="18"/>
      <c r="BM28" s="18"/>
      <c r="BN28" s="18"/>
      <c r="BO28" s="18"/>
    </row>
    <row r="29" spans="1:67" x14ac:dyDescent="0.55000000000000004">
      <c r="A29" s="31">
        <v>106</v>
      </c>
      <c r="B29" s="5" t="s">
        <v>342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29">
        <f>HYPERLINK("[N Only Old retention.xlsx]'Lake P Results'!M25", 6.294)</f>
        <v>6.2939999999999996</v>
      </c>
      <c r="AW29" s="29">
        <f>HYPERLINK("[N Only New retention.xlsx]'Lake P Results'!M25", 1.728)</f>
        <v>1.728</v>
      </c>
      <c r="AX29" s="29">
        <f>HYPERLINK("[N Only with New retention and Differentiation.xlsx]'Lake P Results'!M25", 1.728)</f>
        <v>1.728</v>
      </c>
      <c r="AY29" s="47">
        <f>AW29-AV29</f>
        <v>-4.5659999999999998</v>
      </c>
      <c r="AZ29" s="47">
        <f>AX29-AV29</f>
        <v>-4.5659999999999998</v>
      </c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29">
        <f>HYPERLINK("[N Only Old retention.xlsx]'Lake P Results'!Q25", 2.024)</f>
        <v>2.024</v>
      </c>
      <c r="BL29" s="29">
        <f>HYPERLINK("[N Only New retention.xlsx]'Lake P Results'!Q25", 2.024)</f>
        <v>2.024</v>
      </c>
      <c r="BM29" s="29">
        <f>HYPERLINK("[N Only with New retention and Differentiation.xlsx]'Lake P Results'!Q25", 2.024)</f>
        <v>2.024</v>
      </c>
      <c r="BN29" s="13"/>
      <c r="BO29" s="13"/>
    </row>
    <row r="30" spans="1:67" x14ac:dyDescent="0.55000000000000004">
      <c r="A30" s="30">
        <v>107</v>
      </c>
      <c r="B30" s="6" t="s">
        <v>343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27">
        <f>HYPERLINK("[N Only Old retention.xlsx]'Lake P Results'!M26", 7.33)</f>
        <v>7.33</v>
      </c>
      <c r="AW30" s="27">
        <f>HYPERLINK("[N Only New retention.xlsx]'Lake P Results'!M26", 7.33)</f>
        <v>7.33</v>
      </c>
      <c r="AX30" s="18"/>
      <c r="AY30" s="18"/>
      <c r="AZ30" s="47">
        <f>AX30-AV30</f>
        <v>-7.33</v>
      </c>
      <c r="BA30" s="27">
        <f>HYPERLINK("[N Only Old retention.xlsx]'Lake P Results'!O26", 67.82)</f>
        <v>67.819999999999993</v>
      </c>
      <c r="BB30" s="27">
        <f>HYPERLINK("[N Only New retention.xlsx]'Lake P Results'!O26", 67.82)</f>
        <v>67.819999999999993</v>
      </c>
      <c r="BC30" s="27">
        <f>HYPERLINK("[N Only with New retention and Differentiation.xlsx]'Lake P Results'!O26", 75.15)</f>
        <v>75.150000000000006</v>
      </c>
      <c r="BD30" s="18"/>
      <c r="BE30" s="46">
        <f>BC30-BA30</f>
        <v>7.3300000000000125</v>
      </c>
      <c r="BF30" s="18"/>
      <c r="BG30" s="18"/>
      <c r="BH30" s="18"/>
      <c r="BI30" s="18"/>
      <c r="BJ30" s="18"/>
      <c r="BK30" s="27">
        <f>HYPERLINK("[N Only Old retention.xlsx]'Lake P Results'!Q26", 0.14)</f>
        <v>0.14000000000000001</v>
      </c>
      <c r="BL30" s="18"/>
      <c r="BM30" s="18"/>
      <c r="BN30" s="47">
        <f>BL30-BK30</f>
        <v>-0.14000000000000001</v>
      </c>
      <c r="BO30" s="47">
        <f>BM30-BK30</f>
        <v>-0.14000000000000001</v>
      </c>
    </row>
    <row r="31" spans="1:67" x14ac:dyDescent="0.55000000000000004">
      <c r="A31" s="31">
        <v>110</v>
      </c>
      <c r="B31" s="5" t="s">
        <v>344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spans="1:67" x14ac:dyDescent="0.55000000000000004">
      <c r="A32" s="30">
        <v>111</v>
      </c>
      <c r="B32" s="6" t="s">
        <v>345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27">
        <f>HYPERLINK("[N Only Old retention.xlsx]'Lake P Results'!M28", 57.192)</f>
        <v>57.192</v>
      </c>
      <c r="AW32" s="27">
        <f>HYPERLINK("[N Only New retention.xlsx]'Lake P Results'!M28", 3.2)</f>
        <v>3.2</v>
      </c>
      <c r="AX32" s="27">
        <f>HYPERLINK("[N Only with New retention and Differentiation.xlsx]'Lake P Results'!M28", 3.2)</f>
        <v>3.2</v>
      </c>
      <c r="AY32" s="47">
        <f>AW32-AV32</f>
        <v>-53.991999999999997</v>
      </c>
      <c r="AZ32" s="47">
        <f>AX32-AV32</f>
        <v>-53.991999999999997</v>
      </c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27">
        <f>HYPERLINK("[N Only Old retention.xlsx]'Lake P Results'!Q28", 5.14000000000001)</f>
        <v>5.1400000000000103</v>
      </c>
      <c r="BL32" s="27">
        <f>HYPERLINK("[N Only New retention.xlsx]'Lake P Results'!Q28", 0.449999999999999)</f>
        <v>0.44999999999999901</v>
      </c>
      <c r="BM32" s="27">
        <f>HYPERLINK("[N Only with New retention and Differentiation.xlsx]'Lake P Results'!Q28", 0.449999999999999)</f>
        <v>0.44999999999999901</v>
      </c>
      <c r="BN32" s="47">
        <f>BL32-BK32</f>
        <v>-4.690000000000011</v>
      </c>
      <c r="BO32" s="47">
        <f>BM32-BK32</f>
        <v>-4.690000000000011</v>
      </c>
    </row>
    <row r="33" spans="1:67" x14ac:dyDescent="0.55000000000000004">
      <c r="A33" s="31">
        <v>113</v>
      </c>
      <c r="B33" s="5" t="s">
        <v>346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</row>
    <row r="34" spans="1:67" x14ac:dyDescent="0.55000000000000004">
      <c r="A34" s="30">
        <v>114</v>
      </c>
      <c r="B34" s="6" t="s">
        <v>347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27">
        <f>HYPERLINK("[N Only Old retention.xlsx]'Lake P Results'!M30", 17.41)</f>
        <v>17.41</v>
      </c>
      <c r="AW34" s="27">
        <f>HYPERLINK("[N Only New retention.xlsx]'Lake P Results'!M30", 29.48)</f>
        <v>29.48</v>
      </c>
      <c r="AX34" s="27">
        <f>HYPERLINK("[N Only with New retention and Differentiation.xlsx]'Lake P Results'!M30", 38.81)</f>
        <v>38.81</v>
      </c>
      <c r="AY34" s="46">
        <f>AW34-AV34</f>
        <v>12.07</v>
      </c>
      <c r="AZ34" s="46">
        <f>AX34-AV34</f>
        <v>21.400000000000002</v>
      </c>
      <c r="BA34" s="27">
        <f>HYPERLINK("[N Only Old retention.xlsx]'Lake P Results'!O30", 1.93)</f>
        <v>1.93</v>
      </c>
      <c r="BB34" s="27">
        <f>HYPERLINK("[N Only New retention.xlsx]'Lake P Results'!O30", 1.93)</f>
        <v>1.93</v>
      </c>
      <c r="BC34" s="18"/>
      <c r="BD34" s="18"/>
      <c r="BE34" s="47">
        <f>BC34-BA34</f>
        <v>-1.93</v>
      </c>
      <c r="BF34" s="18"/>
      <c r="BG34" s="18"/>
      <c r="BH34" s="18"/>
      <c r="BI34" s="18"/>
      <c r="BJ34" s="18"/>
      <c r="BK34" s="18"/>
      <c r="BL34" s="18"/>
      <c r="BM34" s="18"/>
      <c r="BN34" s="18"/>
      <c r="BO34" s="18"/>
    </row>
    <row r="35" spans="1:67" x14ac:dyDescent="0.55000000000000004">
      <c r="A35" s="31">
        <v>115</v>
      </c>
      <c r="B35" s="5" t="s">
        <v>348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29">
        <f>HYPERLINK("[N Only Old retention.xlsx]'Lake P Results'!M31", 163.346)</f>
        <v>163.346</v>
      </c>
      <c r="AW35" s="29">
        <f>HYPERLINK("[N Only New retention.xlsx]'Lake P Results'!M31", 332.286)</f>
        <v>332.286</v>
      </c>
      <c r="AX35" s="29">
        <f>HYPERLINK("[N Only with New retention and Differentiation.xlsx]'Lake P Results'!M31", 332.285999999917)</f>
        <v>332.28599999991701</v>
      </c>
      <c r="AY35" s="46">
        <f>AW35-AV35</f>
        <v>168.94</v>
      </c>
      <c r="AZ35" s="46">
        <f>AX35-AV35</f>
        <v>168.93999999991701</v>
      </c>
      <c r="BA35" s="29">
        <f>HYPERLINK("[N Only Old retention.xlsx]'Lake P Results'!O31", 57.87)</f>
        <v>57.87</v>
      </c>
      <c r="BB35" s="29">
        <f>HYPERLINK("[N Only New retention.xlsx]'Lake P Results'!O31", 93.56)</f>
        <v>93.56</v>
      </c>
      <c r="BC35" s="29">
        <f>HYPERLINK("[N Only with New retention and Differentiation.xlsx]'Lake P Results'!O31", 93.56)</f>
        <v>93.56</v>
      </c>
      <c r="BD35" s="46">
        <f>BB35-BA35</f>
        <v>35.690000000000005</v>
      </c>
      <c r="BE35" s="46">
        <f>BC35-BA35</f>
        <v>35.690000000000005</v>
      </c>
      <c r="BF35" s="29">
        <f>HYPERLINK("[N Only Old retention.xlsx]'Lake P Results'!R31", 4.26)</f>
        <v>4.26</v>
      </c>
      <c r="BG35" s="29">
        <f>HYPERLINK("[N Only New retention.xlsx]'Lake P Results'!R31", 4.26)</f>
        <v>4.26</v>
      </c>
      <c r="BH35" s="29">
        <f>HYPERLINK("[N Only with New retention and Differentiation.xlsx]'Lake P Results'!R31", 4.26)</f>
        <v>4.26</v>
      </c>
      <c r="BI35" s="13"/>
      <c r="BJ35" s="13"/>
      <c r="BK35" s="29">
        <f>HYPERLINK("[N Only Old retention.xlsx]'Lake P Results'!Q31", 10.1079999999842)</f>
        <v>10.1079999999842</v>
      </c>
      <c r="BL35" s="29">
        <f>HYPERLINK("[N Only New retention.xlsx]'Lake P Results'!Q31", 9.448)</f>
        <v>9.4480000000000004</v>
      </c>
      <c r="BM35" s="29">
        <f>HYPERLINK("[N Only with New retention and Differentiation.xlsx]'Lake P Results'!Q31", 9.448)</f>
        <v>9.4480000000000004</v>
      </c>
      <c r="BN35" s="47">
        <f>BL35-BK35</f>
        <v>-0.65999999998419945</v>
      </c>
      <c r="BO35" s="47">
        <f>BM35-BK35</f>
        <v>-0.65999999998419945</v>
      </c>
    </row>
    <row r="36" spans="1:67" x14ac:dyDescent="0.55000000000000004">
      <c r="A36" s="30">
        <v>117</v>
      </c>
      <c r="B36" s="6" t="s">
        <v>349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27">
        <f>HYPERLINK("[N Only Old retention.xlsx]'Lake P Results'!M32", 10.55)</f>
        <v>10.55</v>
      </c>
      <c r="AW36" s="27">
        <f>HYPERLINK("[N Only New retention.xlsx]'Lake P Results'!M32", 2.82)</f>
        <v>2.82</v>
      </c>
      <c r="AX36" s="27">
        <f>HYPERLINK("[N Only with New retention and Differentiation.xlsx]'Lake P Results'!M32", 2.82)</f>
        <v>2.82</v>
      </c>
      <c r="AY36" s="47">
        <f>AW36-AV36</f>
        <v>-7.73</v>
      </c>
      <c r="AZ36" s="47">
        <f>AX36-AV36</f>
        <v>-7.73</v>
      </c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27">
        <f>HYPERLINK("[N Only Old retention.xlsx]'Lake P Results'!Q32", 3.89)</f>
        <v>3.89</v>
      </c>
      <c r="BL36" s="27">
        <f>HYPERLINK("[N Only New retention.xlsx]'Lake P Results'!Q32", 0.05)</f>
        <v>0.05</v>
      </c>
      <c r="BM36" s="27">
        <f>HYPERLINK("[N Only with New retention and Differentiation.xlsx]'Lake P Results'!Q32", 0.05)</f>
        <v>0.05</v>
      </c>
      <c r="BN36" s="47">
        <f>BL36-BK36</f>
        <v>-3.8400000000000003</v>
      </c>
      <c r="BO36" s="47">
        <f>BM36-BK36</f>
        <v>-3.8400000000000003</v>
      </c>
    </row>
    <row r="37" spans="1:67" x14ac:dyDescent="0.55000000000000004">
      <c r="A37" s="31">
        <v>119</v>
      </c>
      <c r="B37" s="5" t="s">
        <v>350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29">
        <f>HYPERLINK("[N Only Old retention.xlsx]'Lake P Results'!M33", 28.85)</f>
        <v>28.85</v>
      </c>
      <c r="AW37" s="29">
        <f>HYPERLINK("[N Only New retention.xlsx]'Lake P Results'!M33", 37.68)</f>
        <v>37.68</v>
      </c>
      <c r="AX37" s="29">
        <f>HYPERLINK("[N Only with New retention and Differentiation.xlsx]'Lake P Results'!M33", 37.68)</f>
        <v>37.68</v>
      </c>
      <c r="AY37" s="46">
        <f>AW37-AV37</f>
        <v>8.8299999999999983</v>
      </c>
      <c r="AZ37" s="46">
        <f>AX37-AV37</f>
        <v>8.8299999999999983</v>
      </c>
      <c r="BA37" s="13"/>
      <c r="BB37" s="13"/>
      <c r="BC37" s="13"/>
      <c r="BD37" s="13"/>
      <c r="BE37" s="13"/>
      <c r="BF37" s="29">
        <f>HYPERLINK("[N Only Old retention.xlsx]'Lake P Results'!R33", 5.48599999999474)</f>
        <v>5.48599999999474</v>
      </c>
      <c r="BG37" s="29">
        <f>HYPERLINK("[N Only New retention.xlsx]'Lake P Results'!R33", 5.47600000000001)</f>
        <v>5.4760000000000097</v>
      </c>
      <c r="BH37" s="29">
        <f>HYPERLINK("[N Only with New retention and Differentiation.xlsx]'Lake P Results'!R33", 5.47600000000001)</f>
        <v>5.4760000000000097</v>
      </c>
      <c r="BI37" s="47">
        <f>BG37-BF37</f>
        <v>-9.9999999947302243E-3</v>
      </c>
      <c r="BJ37" s="47">
        <f>BH37-BF37</f>
        <v>-9.9999999947302243E-3</v>
      </c>
      <c r="BK37" s="29">
        <f>HYPERLINK("[N Only Old retention.xlsx]'Lake P Results'!Q33", 3.372)</f>
        <v>3.3719999999999999</v>
      </c>
      <c r="BL37" s="29">
        <f>HYPERLINK("[N Only New retention.xlsx]'Lake P Results'!Q33", 3.91)</f>
        <v>3.91</v>
      </c>
      <c r="BM37" s="29">
        <f>HYPERLINK("[N Only with New retention and Differentiation.xlsx]'Lake P Results'!Q33", 3.07)</f>
        <v>3.07</v>
      </c>
      <c r="BN37" s="46">
        <f>BL37-BK37</f>
        <v>0.53800000000000026</v>
      </c>
      <c r="BO37" s="47">
        <f>BM37-BK37</f>
        <v>-0.30200000000000005</v>
      </c>
    </row>
    <row r="38" spans="1:67" x14ac:dyDescent="0.55000000000000004">
      <c r="A38" s="30">
        <v>121</v>
      </c>
      <c r="B38" s="6" t="s">
        <v>351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</row>
    <row r="39" spans="1:67" x14ac:dyDescent="0.55000000000000004">
      <c r="A39" s="31">
        <v>123</v>
      </c>
      <c r="B39" s="5" t="s">
        <v>352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29">
        <f>HYPERLINK("[N Only Old retention.xlsx]'Lake P Results'!M35", 21.29)</f>
        <v>21.29</v>
      </c>
      <c r="AW39" s="29">
        <f>HYPERLINK("[N Only New retention.xlsx]'Lake P Results'!M35", 21.29)</f>
        <v>21.29</v>
      </c>
      <c r="AX39" s="29">
        <f>HYPERLINK("[N Only with New retention and Differentiation.xlsx]'Lake P Results'!M35", 21.29)</f>
        <v>21.29</v>
      </c>
      <c r="AY39" s="13"/>
      <c r="AZ39" s="13"/>
      <c r="BA39" s="29">
        <f>HYPERLINK("[N Only Old retention.xlsx]'Lake P Results'!O35", 48.47)</f>
        <v>48.47</v>
      </c>
      <c r="BB39" s="29">
        <f>HYPERLINK("[N Only New retention.xlsx]'Lake P Results'!O35", 48.47)</f>
        <v>48.47</v>
      </c>
      <c r="BC39" s="29">
        <f>HYPERLINK("[N Only with New retention and Differentiation.xlsx]'Lake P Results'!O35", 48.47)</f>
        <v>48.47</v>
      </c>
      <c r="BD39" s="13"/>
      <c r="BE39" s="13"/>
      <c r="BF39" s="29">
        <f>HYPERLINK("[N Only Old retention.xlsx]'Lake P Results'!R35", 11.14)</f>
        <v>11.14</v>
      </c>
      <c r="BG39" s="29">
        <f>HYPERLINK("[N Only New retention.xlsx]'Lake P Results'!R35", 11.14)</f>
        <v>11.14</v>
      </c>
      <c r="BH39" s="29">
        <f>HYPERLINK("[N Only with New retention and Differentiation.xlsx]'Lake P Results'!R35", 11.14)</f>
        <v>11.14</v>
      </c>
      <c r="BI39" s="13"/>
      <c r="BJ39" s="13"/>
      <c r="BK39" s="29">
        <f>HYPERLINK("[N Only Old retention.xlsx]'Lake P Results'!Q35", 22.6959999999825)</f>
        <v>22.695999999982501</v>
      </c>
      <c r="BL39" s="29">
        <f>HYPERLINK("[N Only New retention.xlsx]'Lake P Results'!Q35", 24.226)</f>
        <v>24.225999999999999</v>
      </c>
      <c r="BM39" s="29">
        <f>HYPERLINK("[N Only with New retention and Differentiation.xlsx]'Lake P Results'!Q35", 24.226)</f>
        <v>24.225999999999999</v>
      </c>
      <c r="BN39" s="46">
        <f>BL39-BK39</f>
        <v>1.5300000000174983</v>
      </c>
      <c r="BO39" s="46">
        <f>BM39-BK39</f>
        <v>1.5300000000174983</v>
      </c>
    </row>
    <row r="40" spans="1:67" x14ac:dyDescent="0.55000000000000004">
      <c r="A40" s="30">
        <v>128</v>
      </c>
      <c r="B40" s="6" t="s">
        <v>353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26">
        <f>HYPERLINK("[N Only New retention.xlsx]'Lake P Results'!AH36", 250)</f>
        <v>250</v>
      </c>
      <c r="AS40" s="26">
        <f>HYPERLINK("[N Only with New retention and Differentiation.xlsx]'Lake P Results'!AH36", 250)</f>
        <v>250</v>
      </c>
      <c r="AT40" s="16">
        <f>AR40-AQ40</f>
        <v>250</v>
      </c>
      <c r="AU40" s="16">
        <f>AS40-AQ40</f>
        <v>250</v>
      </c>
      <c r="AV40" s="27">
        <f>HYPERLINK("[N Only Old retention.xlsx]'Lake P Results'!M36", 32.91)</f>
        <v>32.909999999999997</v>
      </c>
      <c r="AW40" s="27">
        <f>HYPERLINK("[N Only New retention.xlsx]'Lake P Results'!M36", 49.63)</f>
        <v>49.63</v>
      </c>
      <c r="AX40" s="27">
        <f>HYPERLINK("[N Only with New retention and Differentiation.xlsx]'Lake P Results'!M36", 49.63)</f>
        <v>49.63</v>
      </c>
      <c r="AY40" s="46">
        <f>AW40-AV40</f>
        <v>16.720000000000006</v>
      </c>
      <c r="AZ40" s="46">
        <f>AX40-AV40</f>
        <v>16.720000000000006</v>
      </c>
      <c r="BA40" s="18"/>
      <c r="BB40" s="18"/>
      <c r="BC40" s="18"/>
      <c r="BD40" s="18"/>
      <c r="BE40" s="18"/>
      <c r="BF40" s="27">
        <f>HYPERLINK("[N Only Old retention.xlsx]'Lake P Results'!R36", 0.752)</f>
        <v>0.752</v>
      </c>
      <c r="BG40" s="27">
        <f>HYPERLINK("[N Only New retention.xlsx]'Lake P Results'!R36", 0.902)</f>
        <v>0.90200000000000002</v>
      </c>
      <c r="BH40" s="27">
        <f>HYPERLINK("[N Only with New retention and Differentiation.xlsx]'Lake P Results'!R36", 0.902)</f>
        <v>0.90200000000000002</v>
      </c>
      <c r="BI40" s="46">
        <f>BG40-BF40</f>
        <v>0.15000000000000002</v>
      </c>
      <c r="BJ40" s="46">
        <f>BH40-BF40</f>
        <v>0.15000000000000002</v>
      </c>
      <c r="BK40" s="27">
        <f>HYPERLINK("[N Only Old retention.xlsx]'Lake P Results'!Q36", 1.12)</f>
        <v>1.1200000000000001</v>
      </c>
      <c r="BL40" s="27">
        <f>HYPERLINK("[N Only New retention.xlsx]'Lake P Results'!Q36", 1.86)</f>
        <v>1.86</v>
      </c>
      <c r="BM40" s="27">
        <f>HYPERLINK("[N Only with New retention and Differentiation.xlsx]'Lake P Results'!Q36", 1.86)</f>
        <v>1.86</v>
      </c>
      <c r="BN40" s="46">
        <f>BL40-BK40</f>
        <v>0.74</v>
      </c>
      <c r="BO40" s="46">
        <f>BM40-BK40</f>
        <v>0.74</v>
      </c>
    </row>
    <row r="41" spans="1:67" x14ac:dyDescent="0.55000000000000004">
      <c r="A41" s="31">
        <v>129</v>
      </c>
      <c r="B41" s="5" t="s">
        <v>354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28">
        <f>HYPERLINK("[N Only New retention.xlsx]'Lake P Results'!AH37", 200)</f>
        <v>200</v>
      </c>
      <c r="AS41" s="28">
        <f>HYPERLINK("[N Only with New retention and Differentiation.xlsx]'Lake P Results'!AH37", 200)</f>
        <v>200</v>
      </c>
      <c r="AT41" s="16">
        <f>AR41-AQ41</f>
        <v>200</v>
      </c>
      <c r="AU41" s="16">
        <f>AS41-AQ41</f>
        <v>200</v>
      </c>
      <c r="AV41" s="29">
        <f>HYPERLINK("[N Only Old retention.xlsx]'Lake P Results'!M37", 20.86)</f>
        <v>20.86</v>
      </c>
      <c r="AW41" s="29">
        <f>HYPERLINK("[N Only New retention.xlsx]'Lake P Results'!M37", 15.27)</f>
        <v>15.27</v>
      </c>
      <c r="AX41" s="29">
        <f>HYPERLINK("[N Only with New retention and Differentiation.xlsx]'Lake P Results'!M37", 15.27)</f>
        <v>15.27</v>
      </c>
      <c r="AY41" s="47">
        <f>AW41-AV41</f>
        <v>-5.59</v>
      </c>
      <c r="AZ41" s="47">
        <f>AX41-AV41</f>
        <v>-5.59</v>
      </c>
      <c r="BA41" s="13"/>
      <c r="BB41" s="13"/>
      <c r="BC41" s="13"/>
      <c r="BD41" s="13"/>
      <c r="BE41" s="13"/>
      <c r="BF41" s="29">
        <f>HYPERLINK("[N Only Old retention.xlsx]'Lake P Results'!R37", 0.694)</f>
        <v>0.69399999999999995</v>
      </c>
      <c r="BG41" s="29">
        <f>HYPERLINK("[N Only New retention.xlsx]'Lake P Results'!R37", 0.694)</f>
        <v>0.69399999999999995</v>
      </c>
      <c r="BH41" s="29">
        <f>HYPERLINK("[N Only with New retention and Differentiation.xlsx]'Lake P Results'!R37", 0.694)</f>
        <v>0.69399999999999995</v>
      </c>
      <c r="BI41" s="13"/>
      <c r="BJ41" s="13"/>
      <c r="BK41" s="13"/>
      <c r="BL41" s="29">
        <f>HYPERLINK("[N Only New retention.xlsx]'Lake P Results'!Q37", 0.6)</f>
        <v>0.6</v>
      </c>
      <c r="BM41" s="29">
        <f>HYPERLINK("[N Only with New retention and Differentiation.xlsx]'Lake P Results'!Q37", 0.6)</f>
        <v>0.6</v>
      </c>
      <c r="BN41" s="46">
        <f>BL41-BK41</f>
        <v>0.6</v>
      </c>
      <c r="BO41" s="46">
        <f>BM41-BK41</f>
        <v>0.6</v>
      </c>
    </row>
    <row r="42" spans="1:67" x14ac:dyDescent="0.55000000000000004">
      <c r="A42" s="30">
        <v>135</v>
      </c>
      <c r="B42" s="6" t="s">
        <v>355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26">
        <f>HYPERLINK("[N Only New retention.xlsx]'Lake P Results'!AH38", 500)</f>
        <v>500</v>
      </c>
      <c r="AS42" s="26">
        <f>HYPERLINK("[N Only with New retention and Differentiation.xlsx]'Lake P Results'!AH38", 500)</f>
        <v>500</v>
      </c>
      <c r="AT42" s="16">
        <f>AR42-AQ42</f>
        <v>500</v>
      </c>
      <c r="AU42" s="16">
        <f>AS42-AQ42</f>
        <v>500</v>
      </c>
      <c r="AV42" s="27">
        <f>HYPERLINK("[N Only Old retention.xlsx]'Lake P Results'!M38", 73.13)</f>
        <v>73.13</v>
      </c>
      <c r="AW42" s="27">
        <f>HYPERLINK("[N Only New retention.xlsx]'Lake P Results'!M38", 73.13)</f>
        <v>73.13</v>
      </c>
      <c r="AX42" s="27">
        <f>HYPERLINK("[N Only with New retention and Differentiation.xlsx]'Lake P Results'!M38", 57.96)</f>
        <v>57.96</v>
      </c>
      <c r="AY42" s="18"/>
      <c r="AZ42" s="47">
        <f>AX42-AV42</f>
        <v>-15.169999999999995</v>
      </c>
      <c r="BA42" s="27">
        <f>HYPERLINK("[N Only Old retention.xlsx]'Lake P Results'!O38", 14.13)</f>
        <v>14.13</v>
      </c>
      <c r="BB42" s="27">
        <f>HYPERLINK("[N Only New retention.xlsx]'Lake P Results'!O38", 14.13)</f>
        <v>14.13</v>
      </c>
      <c r="BC42" s="27">
        <f>HYPERLINK("[N Only with New retention and Differentiation.xlsx]'Lake P Results'!O38", 29.3)</f>
        <v>29.3</v>
      </c>
      <c r="BD42" s="18"/>
      <c r="BE42" s="46">
        <f>BC42-BA42</f>
        <v>15.17</v>
      </c>
      <c r="BF42" s="27">
        <f>HYPERLINK("[N Only Old retention.xlsx]'Lake P Results'!R38", 28.66)</f>
        <v>28.66</v>
      </c>
      <c r="BG42" s="27">
        <f>HYPERLINK("[N Only New retention.xlsx]'Lake P Results'!R38", 28.8)</f>
        <v>28.8</v>
      </c>
      <c r="BH42" s="27">
        <f>HYPERLINK("[N Only with New retention and Differentiation.xlsx]'Lake P Results'!R38", 28.8)</f>
        <v>28.8</v>
      </c>
      <c r="BI42" s="46">
        <f>BG42-BF42</f>
        <v>0.14000000000000057</v>
      </c>
      <c r="BJ42" s="46">
        <f>BH42-BF42</f>
        <v>0.14000000000000057</v>
      </c>
      <c r="BK42" s="27">
        <f>HYPERLINK("[N Only Old retention.xlsx]'Lake P Results'!Q38", 24.652)</f>
        <v>24.652000000000001</v>
      </c>
      <c r="BL42" s="27">
        <f>HYPERLINK("[N Only New retention.xlsx]'Lake P Results'!Q38", 24.912)</f>
        <v>24.911999999999999</v>
      </c>
      <c r="BM42" s="27">
        <f>HYPERLINK("[N Only with New retention and Differentiation.xlsx]'Lake P Results'!Q38", 24.912)</f>
        <v>24.911999999999999</v>
      </c>
      <c r="BN42" s="46">
        <f>BL42-BK42</f>
        <v>0.25999999999999801</v>
      </c>
      <c r="BO42" s="46">
        <f>BM42-BK42</f>
        <v>0.25999999999999801</v>
      </c>
    </row>
    <row r="43" spans="1:67" x14ac:dyDescent="0.55000000000000004">
      <c r="A43" s="31">
        <v>136</v>
      </c>
      <c r="B43" s="5" t="s">
        <v>356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29">
        <f>HYPERLINK("[N Only Old retention.xlsx]'Lake P Results'!R39", 0.19)</f>
        <v>0.19</v>
      </c>
      <c r="BG43" s="29">
        <f>HYPERLINK("[N Only New retention.xlsx]'Lake P Results'!R39", 0.19)</f>
        <v>0.19</v>
      </c>
      <c r="BH43" s="29">
        <f>HYPERLINK("[N Only with New retention and Differentiation.xlsx]'Lake P Results'!R39", 0.19)</f>
        <v>0.19</v>
      </c>
      <c r="BI43" s="13"/>
      <c r="BJ43" s="13"/>
      <c r="BK43" s="29">
        <f>HYPERLINK("[N Only Old retention.xlsx]'Lake P Results'!Q39", 2.19)</f>
        <v>2.19</v>
      </c>
      <c r="BL43" s="13"/>
      <c r="BM43" s="13"/>
      <c r="BN43" s="47">
        <f>BL43-BK43</f>
        <v>-2.19</v>
      </c>
      <c r="BO43" s="47">
        <f>BM43-BK43</f>
        <v>-2.19</v>
      </c>
    </row>
    <row r="44" spans="1:67" x14ac:dyDescent="0.55000000000000004">
      <c r="A44" s="30">
        <v>137</v>
      </c>
      <c r="B44" s="6" t="s">
        <v>357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</row>
    <row r="45" spans="1:67" x14ac:dyDescent="0.55000000000000004">
      <c r="A45" s="31">
        <v>139</v>
      </c>
      <c r="B45" s="5" t="s">
        <v>358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29">
        <f>HYPERLINK("[N Only Old retention.xlsx]'Lake P Results'!R41", 0.392000000000001)</f>
        <v>0.39200000000000101</v>
      </c>
      <c r="BG45" s="29">
        <f>HYPERLINK("[N Only New retention.xlsx]'Lake P Results'!R41", 0.392000000000001)</f>
        <v>0.39200000000000101</v>
      </c>
      <c r="BH45" s="29">
        <f>HYPERLINK("[N Only with New retention and Differentiation.xlsx]'Lake P Results'!R41", 0.392000000000001)</f>
        <v>0.39200000000000101</v>
      </c>
      <c r="BI45" s="13"/>
      <c r="BJ45" s="13"/>
      <c r="BK45" s="29">
        <f>HYPERLINK("[N Only Old retention.xlsx]'Lake P Results'!Q41", 0.15)</f>
        <v>0.15</v>
      </c>
      <c r="BL45" s="13"/>
      <c r="BM45" s="13"/>
      <c r="BN45" s="47">
        <f>BL45-BK45</f>
        <v>-0.15</v>
      </c>
      <c r="BO45" s="47">
        <f>BM45-BK45</f>
        <v>-0.15</v>
      </c>
    </row>
    <row r="46" spans="1:67" x14ac:dyDescent="0.55000000000000004">
      <c r="A46" s="30">
        <v>140</v>
      </c>
      <c r="B46" s="6" t="s">
        <v>359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</row>
    <row r="47" spans="1:67" x14ac:dyDescent="0.55000000000000004">
      <c r="A47" s="31">
        <v>141</v>
      </c>
      <c r="B47" s="5" t="s">
        <v>360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29">
        <f>HYPERLINK("[N Only Old retention.xlsx]'Lake P Results'!Z43", 0.018)</f>
        <v>1.7999999999999999E-2</v>
      </c>
      <c r="AC47" s="13"/>
      <c r="AD47" s="29">
        <f>HYPERLINK("[N Only with New retention and Differentiation.xlsx]'Lake P Results'!Z43", 0.018)</f>
        <v>1.7999999999999999E-2</v>
      </c>
      <c r="AE47" s="47">
        <f>AC47-AB47</f>
        <v>-1.7999999999999999E-2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29">
        <f>HYPERLINK("[N Only Old retention.xlsx]'Lake P Results'!M43", 239.968)</f>
        <v>239.96799999999999</v>
      </c>
      <c r="AW47" s="29">
        <f>HYPERLINK("[N Only New retention.xlsx]'Lake P Results'!M43", 274.158)</f>
        <v>274.15800000000002</v>
      </c>
      <c r="AX47" s="29">
        <f>HYPERLINK("[N Only with New retention and Differentiation.xlsx]'Lake P Results'!M43", 274.158)</f>
        <v>274.15800000000002</v>
      </c>
      <c r="AY47" s="46">
        <f>AW47-AV47</f>
        <v>34.190000000000026</v>
      </c>
      <c r="AZ47" s="46">
        <f>AX47-AV47</f>
        <v>34.190000000000026</v>
      </c>
      <c r="BA47" s="29">
        <f>HYPERLINK("[N Only Old retention.xlsx]'Lake P Results'!O43", 28.78)</f>
        <v>28.78</v>
      </c>
      <c r="BB47" s="29">
        <f>HYPERLINK("[N Only New retention.xlsx]'Lake P Results'!O43", 28.78)</f>
        <v>28.78</v>
      </c>
      <c r="BC47" s="29">
        <f>HYPERLINK("[N Only with New retention and Differentiation.xlsx]'Lake P Results'!O43", 28.78)</f>
        <v>28.78</v>
      </c>
      <c r="BD47" s="13"/>
      <c r="BE47" s="13"/>
      <c r="BF47" s="29">
        <f>HYPERLINK("[N Only Old retention.xlsx]'Lake P Results'!R43", 10.992)</f>
        <v>10.992000000000001</v>
      </c>
      <c r="BG47" s="29">
        <f>HYPERLINK("[N Only New retention.xlsx]'Lake P Results'!R43", 11.062)</f>
        <v>11.061999999999999</v>
      </c>
      <c r="BH47" s="29">
        <f>HYPERLINK("[N Only with New retention and Differentiation.xlsx]'Lake P Results'!R43", 11.062)</f>
        <v>11.061999999999999</v>
      </c>
      <c r="BI47" s="46">
        <f>BG47-BF47</f>
        <v>6.9999999999998508E-2</v>
      </c>
      <c r="BJ47" s="46">
        <f>BH47-BF47</f>
        <v>6.9999999999998508E-2</v>
      </c>
      <c r="BK47" s="29">
        <f>HYPERLINK("[N Only Old retention.xlsx]'Lake P Results'!Q43", 50.3815779170871)</f>
        <v>50.3815779170871</v>
      </c>
      <c r="BL47" s="29">
        <f>HYPERLINK("[N Only New retention.xlsx]'Lake P Results'!Q43", 61.9795779171127)</f>
        <v>61.979577917112699</v>
      </c>
      <c r="BM47" s="29">
        <f>HYPERLINK("[N Only with New retention and Differentiation.xlsx]'Lake P Results'!Q43", 61.9615779171127)</f>
        <v>61.961577917112699</v>
      </c>
      <c r="BN47" s="46">
        <f>BL47-BK47</f>
        <v>11.5980000000256</v>
      </c>
      <c r="BO47" s="46">
        <f>BM47-BK47</f>
        <v>11.580000000025599</v>
      </c>
    </row>
    <row r="48" spans="1:67" x14ac:dyDescent="0.55000000000000004">
      <c r="A48" s="30">
        <v>143</v>
      </c>
      <c r="B48" s="6" t="s">
        <v>361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26">
        <f>HYPERLINK("[N Only New retention.xlsx]'Lake P Results'!AH44", 700)</f>
        <v>700</v>
      </c>
      <c r="AS48" s="26">
        <f>HYPERLINK("[N Only with New retention and Differentiation.xlsx]'Lake P Results'!AH44", 700)</f>
        <v>700</v>
      </c>
      <c r="AT48" s="16">
        <f>AR48-AQ48</f>
        <v>700</v>
      </c>
      <c r="AU48" s="16">
        <f>AS48-AQ48</f>
        <v>700</v>
      </c>
      <c r="AV48" s="27">
        <f>HYPERLINK("[N Only Old retention.xlsx]'Lake P Results'!M44", 25.99)</f>
        <v>25.99</v>
      </c>
      <c r="AW48" s="27">
        <f>HYPERLINK("[N Only New retention.xlsx]'Lake P Results'!M44", 3.56)</f>
        <v>3.56</v>
      </c>
      <c r="AX48" s="27">
        <f>HYPERLINK("[N Only with New retention and Differentiation.xlsx]'Lake P Results'!M44", 3.56)</f>
        <v>3.56</v>
      </c>
      <c r="AY48" s="47">
        <f>AW48-AV48</f>
        <v>-22.43</v>
      </c>
      <c r="AZ48" s="47">
        <f>AX48-AV48</f>
        <v>-22.43</v>
      </c>
      <c r="BA48" s="18"/>
      <c r="BB48" s="18"/>
      <c r="BC48" s="18"/>
      <c r="BD48" s="18"/>
      <c r="BE48" s="18"/>
      <c r="BF48" s="27">
        <f>HYPERLINK("[N Only Old retention.xlsx]'Lake P Results'!R44", 1.06)</f>
        <v>1.06</v>
      </c>
      <c r="BG48" s="27">
        <f>HYPERLINK("[N Only New retention.xlsx]'Lake P Results'!R44", 1.49)</f>
        <v>1.49</v>
      </c>
      <c r="BH48" s="27">
        <f>HYPERLINK("[N Only with New retention and Differentiation.xlsx]'Lake P Results'!R44", 1.49)</f>
        <v>1.49</v>
      </c>
      <c r="BI48" s="46">
        <f>BG48-BF48</f>
        <v>0.42999999999999994</v>
      </c>
      <c r="BJ48" s="46">
        <f>BH48-BF48</f>
        <v>0.42999999999999994</v>
      </c>
      <c r="BK48" s="27">
        <f>HYPERLINK("[N Only Old retention.xlsx]'Lake P Results'!Q44", 5.04)</f>
        <v>5.04</v>
      </c>
      <c r="BL48" s="27">
        <f>HYPERLINK("[N Only New retention.xlsx]'Lake P Results'!Q44", 5.562)</f>
        <v>5.5620000000000003</v>
      </c>
      <c r="BM48" s="27">
        <f>HYPERLINK("[N Only with New retention and Differentiation.xlsx]'Lake P Results'!Q44", 5.562)</f>
        <v>5.5620000000000003</v>
      </c>
      <c r="BN48" s="46">
        <f>BL48-BK48</f>
        <v>0.52200000000000024</v>
      </c>
      <c r="BO48" s="46">
        <f>BM48-BK48</f>
        <v>0.52200000000000024</v>
      </c>
    </row>
    <row r="49" spans="1:67" x14ac:dyDescent="0.55000000000000004">
      <c r="A49" s="31">
        <v>146</v>
      </c>
      <c r="B49" s="5" t="s">
        <v>362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</row>
    <row r="50" spans="1:67" x14ac:dyDescent="0.55000000000000004">
      <c r="A50" s="30">
        <v>147</v>
      </c>
      <c r="B50" s="6" t="s">
        <v>363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27">
        <f>HYPERLINK("[N Only Old retention.xlsx]'Lake P Results'!M46", 98.262)</f>
        <v>98.262</v>
      </c>
      <c r="AW50" s="27">
        <f>HYPERLINK("[N Only New retention.xlsx]'Lake P Results'!M46", 87.762)</f>
        <v>87.762</v>
      </c>
      <c r="AX50" s="27">
        <f>HYPERLINK("[N Only with New retention and Differentiation.xlsx]'Lake P Results'!M46", 87.762)</f>
        <v>87.762</v>
      </c>
      <c r="AY50" s="47">
        <f>AW50-AV50</f>
        <v>-10.5</v>
      </c>
      <c r="AZ50" s="47">
        <f>AX50-AV50</f>
        <v>-10.5</v>
      </c>
      <c r="BA50" s="27">
        <f>HYPERLINK("[N Only Old retention.xlsx]'Lake P Results'!O46", 16.02)</f>
        <v>16.02</v>
      </c>
      <c r="BB50" s="27">
        <f>HYPERLINK("[N Only New retention.xlsx]'Lake P Results'!O46", 3.74)</f>
        <v>3.74</v>
      </c>
      <c r="BC50" s="27">
        <f>HYPERLINK("[N Only with New retention and Differentiation.xlsx]'Lake P Results'!O46", 3.74)</f>
        <v>3.74</v>
      </c>
      <c r="BD50" s="47">
        <f>BB50-BA50</f>
        <v>-12.28</v>
      </c>
      <c r="BE50" s="47">
        <f>BC50-BA50</f>
        <v>-12.28</v>
      </c>
      <c r="BF50" s="27">
        <f>HYPERLINK("[N Only Old retention.xlsx]'Lake P Results'!R46", 10.776)</f>
        <v>10.776</v>
      </c>
      <c r="BG50" s="27">
        <f>HYPERLINK("[N Only New retention.xlsx]'Lake P Results'!R46", 10.776)</f>
        <v>10.776</v>
      </c>
      <c r="BH50" s="27">
        <f>HYPERLINK("[N Only with New retention and Differentiation.xlsx]'Lake P Results'!R46", 10.776)</f>
        <v>10.776</v>
      </c>
      <c r="BI50" s="18"/>
      <c r="BJ50" s="18"/>
      <c r="BK50" s="27">
        <f>HYPERLINK("[N Only Old retention.xlsx]'Lake P Results'!Q46", 28.05)</f>
        <v>28.05</v>
      </c>
      <c r="BL50" s="27">
        <f>HYPERLINK("[N Only New retention.xlsx]'Lake P Results'!Q46", 29.24)</f>
        <v>29.24</v>
      </c>
      <c r="BM50" s="27">
        <f>HYPERLINK("[N Only with New retention and Differentiation.xlsx]'Lake P Results'!Q46", 29.24)</f>
        <v>29.24</v>
      </c>
      <c r="BN50" s="46">
        <f>BL50-BK50</f>
        <v>1.1899999999999977</v>
      </c>
      <c r="BO50" s="46">
        <f>BM50-BK50</f>
        <v>1.1899999999999977</v>
      </c>
    </row>
    <row r="51" spans="1:67" x14ac:dyDescent="0.55000000000000004">
      <c r="A51" s="31">
        <v>148</v>
      </c>
      <c r="B51" s="5" t="s">
        <v>364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29">
        <f>HYPERLINK("[N Only Old retention.xlsx]'Lake P Results'!M47", 79.73)</f>
        <v>79.73</v>
      </c>
      <c r="AW51" s="29">
        <f>HYPERLINK("[N Only New retention.xlsx]'Lake P Results'!M47", 75.45)</f>
        <v>75.45</v>
      </c>
      <c r="AX51" s="29">
        <f>HYPERLINK("[N Only with New retention and Differentiation.xlsx]'Lake P Results'!M47", 84.65)</f>
        <v>84.65</v>
      </c>
      <c r="AY51" s="47">
        <f>AW51-AV51</f>
        <v>-4.2800000000000011</v>
      </c>
      <c r="AZ51" s="46">
        <f>AX51-AV51</f>
        <v>4.9200000000000017</v>
      </c>
      <c r="BA51" s="29">
        <f>HYPERLINK("[N Only Old retention.xlsx]'Lake P Results'!O47", 13.59)</f>
        <v>13.59</v>
      </c>
      <c r="BB51" s="29">
        <f>HYPERLINK("[N Only New retention.xlsx]'Lake P Results'!O47", 13.59)</f>
        <v>13.59</v>
      </c>
      <c r="BC51" s="29">
        <f>HYPERLINK("[N Only with New retention and Differentiation.xlsx]'Lake P Results'!O47", 4.39)</f>
        <v>4.3899999999999997</v>
      </c>
      <c r="BD51" s="13"/>
      <c r="BE51" s="47">
        <f>BC51-BA51</f>
        <v>-9.1999999999999993</v>
      </c>
      <c r="BF51" s="29">
        <f>HYPERLINK("[N Only Old retention.xlsx]'Lake P Results'!R47", 9.284)</f>
        <v>9.2840000000000007</v>
      </c>
      <c r="BG51" s="29">
        <f>HYPERLINK("[N Only New retention.xlsx]'Lake P Results'!R47", 9.284)</f>
        <v>9.2840000000000007</v>
      </c>
      <c r="BH51" s="29">
        <f>HYPERLINK("[N Only with New retention and Differentiation.xlsx]'Lake P Results'!R47", 9.284)</f>
        <v>9.2840000000000007</v>
      </c>
      <c r="BI51" s="13"/>
      <c r="BJ51" s="13"/>
      <c r="BK51" s="29">
        <f>HYPERLINK("[N Only Old retention.xlsx]'Lake P Results'!Q47", 0.59)</f>
        <v>0.59</v>
      </c>
      <c r="BL51" s="29">
        <f>HYPERLINK("[N Only New retention.xlsx]'Lake P Results'!Q47", 0.59)</f>
        <v>0.59</v>
      </c>
      <c r="BM51" s="29">
        <f>HYPERLINK("[N Only with New retention and Differentiation.xlsx]'Lake P Results'!Q47", 0.59)</f>
        <v>0.59</v>
      </c>
      <c r="BN51" s="13"/>
      <c r="BO51" s="13"/>
    </row>
    <row r="52" spans="1:67" x14ac:dyDescent="0.55000000000000004">
      <c r="A52" s="30">
        <v>149</v>
      </c>
      <c r="B52" s="6" t="s">
        <v>365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27">
        <f>HYPERLINK("[N Only Old retention.xlsx]'Lake P Results'!M48", 405.193999999898)</f>
        <v>405.19399999989798</v>
      </c>
      <c r="AW52" s="27">
        <f>HYPERLINK("[N Only New retention.xlsx]'Lake P Results'!M48", 244.94)</f>
        <v>244.94</v>
      </c>
      <c r="AX52" s="27">
        <f>HYPERLINK("[N Only with New retention and Differentiation.xlsx]'Lake P Results'!M48", 233.23)</f>
        <v>233.23</v>
      </c>
      <c r="AY52" s="47">
        <f>AW52-AV52</f>
        <v>-160.25399999989799</v>
      </c>
      <c r="AZ52" s="47">
        <f>AX52-AV52</f>
        <v>-171.96399999989799</v>
      </c>
      <c r="BA52" s="27">
        <f>HYPERLINK("[N Only Old retention.xlsx]'Lake P Results'!O48", 218.15)</f>
        <v>218.15</v>
      </c>
      <c r="BB52" s="27">
        <f>HYPERLINK("[N Only New retention.xlsx]'Lake P Results'!O48", 227.8)</f>
        <v>227.8</v>
      </c>
      <c r="BC52" s="27">
        <f>HYPERLINK("[N Only with New retention and Differentiation.xlsx]'Lake P Results'!O48", 227.8)</f>
        <v>227.8</v>
      </c>
      <c r="BD52" s="46">
        <f>BB52-BA52</f>
        <v>9.6500000000000057</v>
      </c>
      <c r="BE52" s="46">
        <f>BC52-BA52</f>
        <v>9.6500000000000057</v>
      </c>
      <c r="BF52" s="27">
        <f>HYPERLINK("[N Only Old retention.xlsx]'Lake P Results'!R48", 32.932)</f>
        <v>32.932000000000002</v>
      </c>
      <c r="BG52" s="27">
        <f>HYPERLINK("[N Only New retention.xlsx]'Lake P Results'!R48", 32.832)</f>
        <v>32.832000000000001</v>
      </c>
      <c r="BH52" s="27">
        <f>HYPERLINK("[N Only with New retention and Differentiation.xlsx]'Lake P Results'!R48", 32.832)</f>
        <v>32.832000000000001</v>
      </c>
      <c r="BI52" s="47">
        <f>BG52-BF52</f>
        <v>-0.10000000000000142</v>
      </c>
      <c r="BJ52" s="47">
        <f>BH52-BF52</f>
        <v>-0.10000000000000142</v>
      </c>
      <c r="BK52" s="27">
        <f>HYPERLINK("[N Only Old retention.xlsx]'Lake P Results'!Q48", 21.412)</f>
        <v>21.411999999999999</v>
      </c>
      <c r="BL52" s="27">
        <f>HYPERLINK("[N Only New retention.xlsx]'Lake P Results'!Q48", 35.2519999999731)</f>
        <v>35.251999999973101</v>
      </c>
      <c r="BM52" s="27">
        <f>HYPERLINK("[N Only with New retention and Differentiation.xlsx]'Lake P Results'!Q48", 34.462)</f>
        <v>34.462000000000003</v>
      </c>
      <c r="BN52" s="46">
        <f>BL52-BK52</f>
        <v>13.839999999973102</v>
      </c>
      <c r="BO52" s="46">
        <f>BM52-BK52</f>
        <v>13.050000000000004</v>
      </c>
    </row>
    <row r="53" spans="1:67" x14ac:dyDescent="0.55000000000000004">
      <c r="A53" s="31">
        <v>156</v>
      </c>
      <c r="B53" s="5" t="s">
        <v>366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</row>
    <row r="54" spans="1:67" x14ac:dyDescent="0.55000000000000004">
      <c r="A54" s="30">
        <v>157</v>
      </c>
      <c r="B54" s="6" t="s">
        <v>367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</row>
    <row r="55" spans="1:67" x14ac:dyDescent="0.55000000000000004">
      <c r="A55" s="31">
        <v>159</v>
      </c>
      <c r="B55" s="5" t="s">
        <v>368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</row>
    <row r="56" spans="1:67" x14ac:dyDescent="0.55000000000000004">
      <c r="A56" s="30">
        <v>166</v>
      </c>
      <c r="B56" s="6" t="s">
        <v>369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27">
        <f>HYPERLINK("[N Only Old retention.xlsx]'Lake P Results'!M52", 391.082)</f>
        <v>391.08199999999999</v>
      </c>
      <c r="AW56" s="27">
        <f>HYPERLINK("[N Only New retention.xlsx]'Lake P Results'!M52", 397.17)</f>
        <v>397.17</v>
      </c>
      <c r="AX56" s="27">
        <f>HYPERLINK("[N Only with New retention and Differentiation.xlsx]'Lake P Results'!M52", 428.516)</f>
        <v>428.51600000000002</v>
      </c>
      <c r="AY56" s="46">
        <f>AW56-AV56</f>
        <v>6.0880000000000223</v>
      </c>
      <c r="AZ56" s="46">
        <f>AX56-AV56</f>
        <v>37.434000000000026</v>
      </c>
      <c r="BA56" s="27">
        <f>HYPERLINK("[N Only Old retention.xlsx]'Lake P Results'!O52", 35.318)</f>
        <v>35.317999999999998</v>
      </c>
      <c r="BB56" s="27">
        <f>HYPERLINK("[N Only New retention.xlsx]'Lake P Results'!O52", 29.458)</f>
        <v>29.457999999999998</v>
      </c>
      <c r="BC56" s="27">
        <f>HYPERLINK("[N Only with New retention and Differentiation.xlsx]'Lake P Results'!O52", 29.458)</f>
        <v>29.457999999999998</v>
      </c>
      <c r="BD56" s="47">
        <f>BB56-BA56</f>
        <v>-5.8599999999999994</v>
      </c>
      <c r="BE56" s="47">
        <f>BC56-BA56</f>
        <v>-5.8599999999999994</v>
      </c>
      <c r="BF56" s="27">
        <f>HYPERLINK("[N Only Old retention.xlsx]'Lake P Results'!R52", 2.80800000000001)</f>
        <v>2.80800000000001</v>
      </c>
      <c r="BG56" s="27">
        <f>HYPERLINK("[N Only New retention.xlsx]'Lake P Results'!R52", 2.80800000000001)</f>
        <v>2.80800000000001</v>
      </c>
      <c r="BH56" s="27">
        <f>HYPERLINK("[N Only with New retention and Differentiation.xlsx]'Lake P Results'!R52", 2.80800000000001)</f>
        <v>2.80800000000001</v>
      </c>
      <c r="BI56" s="18"/>
      <c r="BJ56" s="18"/>
      <c r="BK56" s="27">
        <f>HYPERLINK("[N Only Old retention.xlsx]'Lake P Results'!Q52", 3.13)</f>
        <v>3.13</v>
      </c>
      <c r="BL56" s="27">
        <f>HYPERLINK("[N Only New retention.xlsx]'Lake P Results'!Q52", 5.09)</f>
        <v>5.09</v>
      </c>
      <c r="BM56" s="27">
        <f>HYPERLINK("[N Only with New retention and Differentiation.xlsx]'Lake P Results'!Q52", 5.09)</f>
        <v>5.09</v>
      </c>
      <c r="BN56" s="46">
        <f>BL56-BK56</f>
        <v>1.96</v>
      </c>
      <c r="BO56" s="46">
        <f>BM56-BK56</f>
        <v>1.96</v>
      </c>
    </row>
    <row r="57" spans="1:67" x14ac:dyDescent="0.55000000000000004">
      <c r="A57" s="31">
        <v>167</v>
      </c>
      <c r="B57" s="5" t="s">
        <v>370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29">
        <f>HYPERLINK("[N Only Old retention.xlsx]'Lake P Results'!M53", 35.6)</f>
        <v>35.6</v>
      </c>
      <c r="AW57" s="29">
        <f>HYPERLINK("[N Only New retention.xlsx]'Lake P Results'!M53", 45.72)</f>
        <v>45.72</v>
      </c>
      <c r="AX57" s="29">
        <f>HYPERLINK("[N Only with New retention and Differentiation.xlsx]'Lake P Results'!M53", 45.72)</f>
        <v>45.72</v>
      </c>
      <c r="AY57" s="46">
        <f>AW57-AV57</f>
        <v>10.119999999999997</v>
      </c>
      <c r="AZ57" s="46">
        <f>AX57-AV57</f>
        <v>10.119999999999997</v>
      </c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</row>
    <row r="58" spans="1:67" x14ac:dyDescent="0.55000000000000004">
      <c r="A58" s="30">
        <v>169</v>
      </c>
      <c r="B58" s="6" t="s">
        <v>371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27">
        <f>HYPERLINK("[N Only Old retention.xlsx]'Lake P Results'!M54", 31.212)</f>
        <v>31.212</v>
      </c>
      <c r="AW58" s="27">
        <f>HYPERLINK("[N Only New retention.xlsx]'Lake P Results'!M54", 31.212)</f>
        <v>31.212</v>
      </c>
      <c r="AX58" s="27">
        <f>HYPERLINK("[N Only with New retention and Differentiation.xlsx]'Lake P Results'!M54", 31.212)</f>
        <v>31.212</v>
      </c>
      <c r="AY58" s="18"/>
      <c r="AZ58" s="18"/>
      <c r="BA58" s="18"/>
      <c r="BB58" s="18"/>
      <c r="BC58" s="18"/>
      <c r="BD58" s="18"/>
      <c r="BE58" s="18"/>
      <c r="BF58" s="27">
        <f>HYPERLINK("[N Only Old retention.xlsx]'Lake P Results'!R54", 0.49)</f>
        <v>0.49</v>
      </c>
      <c r="BG58" s="27">
        <f>HYPERLINK("[N Only New retention.xlsx]'Lake P Results'!R54", 0.49)</f>
        <v>0.49</v>
      </c>
      <c r="BH58" s="27">
        <f>HYPERLINK("[N Only with New retention and Differentiation.xlsx]'Lake P Results'!R54", 0.49)</f>
        <v>0.49</v>
      </c>
      <c r="BI58" s="18"/>
      <c r="BJ58" s="18"/>
      <c r="BK58" s="27">
        <f>HYPERLINK("[N Only Old retention.xlsx]'Lake P Results'!Q54", 7.11)</f>
        <v>7.11</v>
      </c>
      <c r="BL58" s="27">
        <f>HYPERLINK("[N Only New retention.xlsx]'Lake P Results'!Q54", 1.59)</f>
        <v>1.59</v>
      </c>
      <c r="BM58" s="27">
        <f>HYPERLINK("[N Only with New retention and Differentiation.xlsx]'Lake P Results'!Q54", 2.59)</f>
        <v>2.59</v>
      </c>
      <c r="BN58" s="47">
        <f>BL58-BK58</f>
        <v>-5.5200000000000005</v>
      </c>
      <c r="BO58" s="47">
        <f>BM58-BK58</f>
        <v>-4.5200000000000005</v>
      </c>
    </row>
    <row r="59" spans="1:67" x14ac:dyDescent="0.55000000000000004">
      <c r="A59" s="31">
        <v>172</v>
      </c>
      <c r="B59" s="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29">
        <f>HYPERLINK("[N Only Old retention.xlsx]'Lake P Results'!M55", 27.04)</f>
        <v>27.04</v>
      </c>
      <c r="AW59" s="29">
        <f>HYPERLINK("[N Only New retention.xlsx]'Lake P Results'!M55", 48.81)</f>
        <v>48.81</v>
      </c>
      <c r="AX59" s="29">
        <f>HYPERLINK("[N Only with New retention and Differentiation.xlsx]'Lake P Results'!M55", 48.81)</f>
        <v>48.81</v>
      </c>
      <c r="AY59" s="46">
        <f>AW59-AV59</f>
        <v>21.770000000000003</v>
      </c>
      <c r="AZ59" s="46">
        <f>AX59-AV59</f>
        <v>21.770000000000003</v>
      </c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</row>
    <row r="60" spans="1:67" x14ac:dyDescent="0.55000000000000004">
      <c r="A60" s="30">
        <v>179</v>
      </c>
      <c r="B60" s="6" t="s">
        <v>372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27">
        <f>HYPERLINK("[N Only Old retention.xlsx]'Lake P Results'!M56", 16.52)</f>
        <v>16.52</v>
      </c>
      <c r="AW60" s="27">
        <f>HYPERLINK("[N Only New retention.xlsx]'Lake P Results'!M56", 14.02)</f>
        <v>14.02</v>
      </c>
      <c r="AX60" s="27">
        <f>HYPERLINK("[N Only with New retention and Differentiation.xlsx]'Lake P Results'!M56", 14.02)</f>
        <v>14.02</v>
      </c>
      <c r="AY60" s="47">
        <f>AW60-AV60</f>
        <v>-2.5</v>
      </c>
      <c r="AZ60" s="47">
        <f>AX60-AV60</f>
        <v>-2.5</v>
      </c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27">
        <f>HYPERLINK("[N Only Old retention.xlsx]'Lake P Results'!Q56", 0.08)</f>
        <v>0.08</v>
      </c>
      <c r="BL60" s="27">
        <f>HYPERLINK("[N Only New retention.xlsx]'Lake P Results'!Q56", 0.08)</f>
        <v>0.08</v>
      </c>
      <c r="BM60" s="27">
        <f>HYPERLINK("[N Only with New retention and Differentiation.xlsx]'Lake P Results'!Q56", 0.08)</f>
        <v>0.08</v>
      </c>
      <c r="BN60" s="18"/>
      <c r="BO60" s="18"/>
    </row>
    <row r="61" spans="1:67" x14ac:dyDescent="0.55000000000000004">
      <c r="A61" s="31">
        <v>180</v>
      </c>
      <c r="B61" s="5" t="s">
        <v>373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</row>
    <row r="62" spans="1:67" x14ac:dyDescent="0.55000000000000004">
      <c r="A62" s="30">
        <v>187</v>
      </c>
      <c r="B62" s="6" t="s">
        <v>374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27">
        <f>HYPERLINK("[N Only Old retention.xlsx]'Lake P Results'!M58", 85.014)</f>
        <v>85.013999999999996</v>
      </c>
      <c r="AW62" s="27">
        <f>HYPERLINK("[N Only New retention.xlsx]'Lake P Results'!M58", 79.33)</f>
        <v>79.33</v>
      </c>
      <c r="AX62" s="27">
        <f>HYPERLINK("[N Only with New retention and Differentiation.xlsx]'Lake P Results'!M58", 75.31)</f>
        <v>75.31</v>
      </c>
      <c r="AY62" s="47">
        <f>AW62-AV62</f>
        <v>-5.6839999999999975</v>
      </c>
      <c r="AZ62" s="47">
        <f>AX62-AV62</f>
        <v>-9.7039999999999935</v>
      </c>
      <c r="BA62" s="18"/>
      <c r="BB62" s="27">
        <f>HYPERLINK("[N Only New retention.xlsx]'Lake P Results'!O58", 2.61)</f>
        <v>2.61</v>
      </c>
      <c r="BC62" s="27">
        <f>HYPERLINK("[N Only with New retention and Differentiation.xlsx]'Lake P Results'!O58", 2.61)</f>
        <v>2.61</v>
      </c>
      <c r="BD62" s="46">
        <f>BB62-BA62</f>
        <v>2.61</v>
      </c>
      <c r="BE62" s="46">
        <f>BC62-BA62</f>
        <v>2.61</v>
      </c>
      <c r="BF62" s="27">
        <f>HYPERLINK("[N Only Old retention.xlsx]'Lake P Results'!R58", 4.82)</f>
        <v>4.82</v>
      </c>
      <c r="BG62" s="27">
        <f>HYPERLINK("[N Only New retention.xlsx]'Lake P Results'!R58", 4.82)</f>
        <v>4.82</v>
      </c>
      <c r="BH62" s="27">
        <f>HYPERLINK("[N Only with New retention and Differentiation.xlsx]'Lake P Results'!R58", 4.82)</f>
        <v>4.82</v>
      </c>
      <c r="BI62" s="18"/>
      <c r="BJ62" s="18"/>
      <c r="BK62" s="27">
        <f>HYPERLINK("[N Only Old retention.xlsx]'Lake P Results'!Q58", 0.779999999999999)</f>
        <v>0.77999999999999903</v>
      </c>
      <c r="BL62" s="27">
        <f>HYPERLINK("[N Only New retention.xlsx]'Lake P Results'!Q58", 0.679999999999999)</f>
        <v>0.67999999999999905</v>
      </c>
      <c r="BM62" s="27">
        <f>HYPERLINK("[N Only with New retention and Differentiation.xlsx]'Lake P Results'!Q58", 0.679999999999999)</f>
        <v>0.67999999999999905</v>
      </c>
      <c r="BN62" s="47">
        <f>BL62-BK62</f>
        <v>-9.9999999999999978E-2</v>
      </c>
      <c r="BO62" s="47">
        <f>BM62-BK62</f>
        <v>-9.9999999999999978E-2</v>
      </c>
    </row>
    <row r="63" spans="1:67" x14ac:dyDescent="0.55000000000000004">
      <c r="A63" s="31">
        <v>188</v>
      </c>
      <c r="B63" s="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29">
        <f>HYPERLINK("[N Only Old retention.xlsx]'Lake P Results'!M59", 29.57)</f>
        <v>29.57</v>
      </c>
      <c r="AW63" s="29">
        <f>HYPERLINK("[N Only New retention.xlsx]'Lake P Results'!M59", 49.29)</f>
        <v>49.29</v>
      </c>
      <c r="AX63" s="29">
        <f>HYPERLINK("[N Only with New retention and Differentiation.xlsx]'Lake P Results'!M59", 49.29)</f>
        <v>49.29</v>
      </c>
      <c r="AY63" s="46">
        <f>AW63-AV63</f>
        <v>19.72</v>
      </c>
      <c r="AZ63" s="46">
        <f>AX63-AV63</f>
        <v>19.72</v>
      </c>
      <c r="BA63" s="29">
        <f>HYPERLINK("[N Only Old retention.xlsx]'Lake P Results'!O59", 28.066)</f>
        <v>28.065999999999999</v>
      </c>
      <c r="BB63" s="29">
        <f>HYPERLINK("[N Only New retention.xlsx]'Lake P Results'!O59", 38.176)</f>
        <v>38.176000000000002</v>
      </c>
      <c r="BC63" s="29">
        <f>HYPERLINK("[N Only with New retention and Differentiation.xlsx]'Lake P Results'!O59", 38.176)</f>
        <v>38.176000000000002</v>
      </c>
      <c r="BD63" s="46">
        <f>BB63-BA63</f>
        <v>10.110000000000003</v>
      </c>
      <c r="BE63" s="46">
        <f>BC63-BA63</f>
        <v>10.110000000000003</v>
      </c>
      <c r="BF63" s="29">
        <f>HYPERLINK("[N Only Old retention.xlsx]'Lake P Results'!R59", 0.33)</f>
        <v>0.33</v>
      </c>
      <c r="BG63" s="29">
        <f>HYPERLINK("[N Only New retention.xlsx]'Lake P Results'!R59", 0.33)</f>
        <v>0.33</v>
      </c>
      <c r="BH63" s="29">
        <f>HYPERLINK("[N Only with New retention and Differentiation.xlsx]'Lake P Results'!R59", 0.33)</f>
        <v>0.33</v>
      </c>
      <c r="BI63" s="13"/>
      <c r="BJ63" s="13"/>
      <c r="BK63" s="29">
        <f>HYPERLINK("[N Only Old retention.xlsx]'Lake P Results'!Q59", 1.63)</f>
        <v>1.63</v>
      </c>
      <c r="BL63" s="13"/>
      <c r="BM63" s="13"/>
      <c r="BN63" s="47">
        <f>BL63-BK63</f>
        <v>-1.63</v>
      </c>
      <c r="BO63" s="47">
        <f>BM63-BK63</f>
        <v>-1.63</v>
      </c>
    </row>
    <row r="64" spans="1:67" x14ac:dyDescent="0.55000000000000004">
      <c r="A64" s="30">
        <v>189</v>
      </c>
      <c r="B64" s="6" t="s">
        <v>375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27">
        <f>HYPERLINK("[N Only Old retention.xlsx]'Lake P Results'!M60", 26.26)</f>
        <v>26.26</v>
      </c>
      <c r="AW64" s="27">
        <f>HYPERLINK("[N Only New retention.xlsx]'Lake P Results'!M60", 38.64)</f>
        <v>38.64</v>
      </c>
      <c r="AX64" s="27">
        <f>HYPERLINK("[N Only with New retention and Differentiation.xlsx]'Lake P Results'!M60", 38.64)</f>
        <v>38.64</v>
      </c>
      <c r="AY64" s="46">
        <f>AW64-AV64</f>
        <v>12.379999999999999</v>
      </c>
      <c r="AZ64" s="46">
        <f>AX64-AV64</f>
        <v>12.379999999999999</v>
      </c>
      <c r="BA64" s="18"/>
      <c r="BB64" s="27">
        <f>HYPERLINK("[N Only New retention.xlsx]'Lake P Results'!O60", 1.73)</f>
        <v>1.73</v>
      </c>
      <c r="BC64" s="27">
        <f>HYPERLINK("[N Only with New retention and Differentiation.xlsx]'Lake P Results'!O60", 1.73)</f>
        <v>1.73</v>
      </c>
      <c r="BD64" s="46">
        <f>BB64-BA64</f>
        <v>1.73</v>
      </c>
      <c r="BE64" s="46">
        <f>BC64-BA64</f>
        <v>1.73</v>
      </c>
      <c r="BF64" s="27">
        <f>HYPERLINK("[N Only Old retention.xlsx]'Lake P Results'!R60", 0.44)</f>
        <v>0.44</v>
      </c>
      <c r="BG64" s="18"/>
      <c r="BH64" s="18"/>
      <c r="BI64" s="47">
        <f>BG64-BF64</f>
        <v>-0.44</v>
      </c>
      <c r="BJ64" s="47">
        <f>BH64-BF64</f>
        <v>-0.44</v>
      </c>
      <c r="BK64" s="27">
        <f>HYPERLINK("[N Only Old retention.xlsx]'Lake P Results'!Q60", 2.48)</f>
        <v>2.48</v>
      </c>
      <c r="BL64" s="27">
        <f>HYPERLINK("[N Only New retention.xlsx]'Lake P Results'!Q60", 0.730000000000001)</f>
        <v>0.73000000000000098</v>
      </c>
      <c r="BM64" s="27">
        <f>HYPERLINK("[N Only with New retention and Differentiation.xlsx]'Lake P Results'!Q60", 0.730000000000001)</f>
        <v>0.73000000000000098</v>
      </c>
      <c r="BN64" s="47">
        <f>BL64-BK64</f>
        <v>-1.7499999999999991</v>
      </c>
      <c r="BO64" s="47">
        <f>BM64-BK64</f>
        <v>-1.7499999999999991</v>
      </c>
    </row>
    <row r="65" spans="1:67" x14ac:dyDescent="0.55000000000000004">
      <c r="A65" s="31">
        <v>190</v>
      </c>
      <c r="B65" s="5" t="s">
        <v>376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</row>
    <row r="66" spans="1:67" x14ac:dyDescent="0.55000000000000004">
      <c r="A66" s="30">
        <v>195</v>
      </c>
      <c r="B66" s="6" t="s">
        <v>377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27">
        <f>HYPERLINK("[N Only Old retention.xlsx]'Lake P Results'!M62", 25.78)</f>
        <v>25.78</v>
      </c>
      <c r="AW66" s="27">
        <f>HYPERLINK("[N Only New retention.xlsx]'Lake P Results'!M62", 21.31)</f>
        <v>21.31</v>
      </c>
      <c r="AX66" s="27">
        <f>HYPERLINK("[N Only with New retention and Differentiation.xlsx]'Lake P Results'!M62", 8.98)</f>
        <v>8.98</v>
      </c>
      <c r="AY66" s="47">
        <f>AW66-AV66</f>
        <v>-4.4700000000000024</v>
      </c>
      <c r="AZ66" s="47">
        <f>AX66-AV66</f>
        <v>-16.8</v>
      </c>
      <c r="BA66" s="18"/>
      <c r="BB66" s="18"/>
      <c r="BC66" s="18"/>
      <c r="BD66" s="18"/>
      <c r="BE66" s="18"/>
      <c r="BF66" s="27">
        <f>HYPERLINK("[N Only Old retention.xlsx]'Lake P Results'!R62", 0.936)</f>
        <v>0.93600000000000005</v>
      </c>
      <c r="BG66" s="27">
        <f>HYPERLINK("[N Only New retention.xlsx]'Lake P Results'!R62", 0.936)</f>
        <v>0.93600000000000005</v>
      </c>
      <c r="BH66" s="27">
        <f>HYPERLINK("[N Only with New retention and Differentiation.xlsx]'Lake P Results'!R62", 0.936)</f>
        <v>0.93600000000000005</v>
      </c>
      <c r="BI66" s="18"/>
      <c r="BJ66" s="18"/>
      <c r="BK66" s="18"/>
      <c r="BL66" s="18"/>
      <c r="BM66" s="18"/>
      <c r="BN66" s="18"/>
      <c r="BO66" s="18"/>
    </row>
    <row r="67" spans="1:67" x14ac:dyDescent="0.55000000000000004">
      <c r="A67" s="31">
        <v>196</v>
      </c>
      <c r="B67" s="5" t="s">
        <v>378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29">
        <f>HYPERLINK("[N Only Old retention.xlsx]'Lake P Results'!M63", 148.458)</f>
        <v>148.458</v>
      </c>
      <c r="AW67" s="29">
        <f>HYPERLINK("[N Only New retention.xlsx]'Lake P Results'!M63", 179.638)</f>
        <v>179.63800000000001</v>
      </c>
      <c r="AX67" s="29">
        <f>HYPERLINK("[N Only with New retention and Differentiation.xlsx]'Lake P Results'!M63", 179.638)</f>
        <v>179.63800000000001</v>
      </c>
      <c r="AY67" s="46">
        <f>AW67-AV67</f>
        <v>31.180000000000007</v>
      </c>
      <c r="AZ67" s="46">
        <f>AX67-AV67</f>
        <v>31.180000000000007</v>
      </c>
      <c r="BA67" s="13"/>
      <c r="BB67" s="29">
        <f>HYPERLINK("[N Only New retention.xlsx]'Lake P Results'!O63", 10.38)</f>
        <v>10.38</v>
      </c>
      <c r="BC67" s="29">
        <f>HYPERLINK("[N Only with New retention and Differentiation.xlsx]'Lake P Results'!O63", 10.38)</f>
        <v>10.38</v>
      </c>
      <c r="BD67" s="46">
        <f>BB67-BA67</f>
        <v>10.38</v>
      </c>
      <c r="BE67" s="46">
        <f>BC67-BA67</f>
        <v>10.38</v>
      </c>
      <c r="BF67" s="29">
        <f>HYPERLINK("[N Only Old retention.xlsx]'Lake P Results'!R63", 0.0099999999999999)</f>
        <v>9.9999999999998996E-3</v>
      </c>
      <c r="BG67" s="13"/>
      <c r="BH67" s="13"/>
      <c r="BI67" s="47">
        <f>BG67-BF67</f>
        <v>-9.9999999999998996E-3</v>
      </c>
      <c r="BJ67" s="47">
        <f>BH67-BF67</f>
        <v>-9.9999999999998996E-3</v>
      </c>
      <c r="BK67" s="29">
        <f>HYPERLINK("[N Only Old retention.xlsx]'Lake P Results'!Q63", 6.94600000000001)</f>
        <v>6.9460000000000104</v>
      </c>
      <c r="BL67" s="29">
        <f>HYPERLINK("[N Only New retention.xlsx]'Lake P Results'!Q63", 6.17600000000001)</f>
        <v>6.1760000000000099</v>
      </c>
      <c r="BM67" s="29">
        <f>HYPERLINK("[N Only with New retention and Differentiation.xlsx]'Lake P Results'!Q63", 6.17600000000001)</f>
        <v>6.1760000000000099</v>
      </c>
      <c r="BN67" s="47">
        <f>BL67-BK67</f>
        <v>-0.77000000000000046</v>
      </c>
      <c r="BO67" s="47">
        <f>BM67-BK67</f>
        <v>-0.77000000000000046</v>
      </c>
    </row>
    <row r="68" spans="1:67" x14ac:dyDescent="0.55000000000000004">
      <c r="A68" s="30">
        <v>197</v>
      </c>
      <c r="B68" s="6" t="s">
        <v>379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</row>
    <row r="69" spans="1:67" x14ac:dyDescent="0.55000000000000004">
      <c r="A69" s="31">
        <v>202</v>
      </c>
      <c r="B69" s="5" t="s">
        <v>380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29">
        <f>HYPERLINK("[N Only Old retention.xlsx]'Lake P Results'!M65", 3.67)</f>
        <v>3.67</v>
      </c>
      <c r="AW69" s="29">
        <f>HYPERLINK("[N Only New retention.xlsx]'Lake P Results'!M65", 7.67)</f>
        <v>7.67</v>
      </c>
      <c r="AX69" s="29">
        <f>HYPERLINK("[N Only with New retention and Differentiation.xlsx]'Lake P Results'!M65", 7.67)</f>
        <v>7.67</v>
      </c>
      <c r="AY69" s="46">
        <f>AW69-AV69</f>
        <v>4</v>
      </c>
      <c r="AZ69" s="46">
        <f>AX69-AV69</f>
        <v>4</v>
      </c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29">
        <f>HYPERLINK("[N Only Old retention.xlsx]'Lake P Results'!Q65", 0.4)</f>
        <v>0.4</v>
      </c>
      <c r="BL69" s="13"/>
      <c r="BM69" s="13"/>
      <c r="BN69" s="47">
        <f>BL69-BK69</f>
        <v>-0.4</v>
      </c>
      <c r="BO69" s="47">
        <f>BM69-BK69</f>
        <v>-0.4</v>
      </c>
    </row>
    <row r="70" spans="1:67" x14ac:dyDescent="0.55000000000000004">
      <c r="A70" s="30">
        <v>206</v>
      </c>
      <c r="B70" s="6" t="s">
        <v>381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</row>
    <row r="71" spans="1:67" x14ac:dyDescent="0.55000000000000004">
      <c r="A71" s="31">
        <v>213</v>
      </c>
      <c r="B71" s="5" t="s">
        <v>382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</row>
    <row r="72" spans="1:67" x14ac:dyDescent="0.55000000000000004">
      <c r="A72" s="30">
        <v>215</v>
      </c>
      <c r="B72" s="6" t="s">
        <v>383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27">
        <f>HYPERLINK("[N Only Old retention.xlsx]'Lake P Results'!M68", 8.23)</f>
        <v>8.23</v>
      </c>
      <c r="AW72" s="27">
        <f>HYPERLINK("[N Only New retention.xlsx]'Lake P Results'!M68", 8.23)</f>
        <v>8.23</v>
      </c>
      <c r="AX72" s="27">
        <f>HYPERLINK("[N Only with New retention and Differentiation.xlsx]'Lake P Results'!M68", 8.23)</f>
        <v>8.23</v>
      </c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27">
        <f>HYPERLINK("[N Only Old retention.xlsx]'Lake P Results'!Q68", 1.56)</f>
        <v>1.56</v>
      </c>
      <c r="BL72" s="27">
        <f>HYPERLINK("[N Only New retention.xlsx]'Lake P Results'!Q68", 0.55)</f>
        <v>0.55000000000000004</v>
      </c>
      <c r="BM72" s="27">
        <f>HYPERLINK("[N Only with New retention and Differentiation.xlsx]'Lake P Results'!Q68", 0.55)</f>
        <v>0.55000000000000004</v>
      </c>
      <c r="BN72" s="47">
        <f>BL72-BK72</f>
        <v>-1.01</v>
      </c>
      <c r="BO72" s="47">
        <f>BM72-BK72</f>
        <v>-1.01</v>
      </c>
    </row>
    <row r="73" spans="1:67" x14ac:dyDescent="0.55000000000000004">
      <c r="A73" s="31">
        <v>219</v>
      </c>
      <c r="B73" s="5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29">
        <f>HYPERLINK("[N Only Old retention.xlsx]'Lake P Results'!R69", 0.996)</f>
        <v>0.996</v>
      </c>
      <c r="BG73" s="29">
        <f>HYPERLINK("[N Only New retention.xlsx]'Lake P Results'!R69", 0.516)</f>
        <v>0.51600000000000001</v>
      </c>
      <c r="BH73" s="29">
        <f>HYPERLINK("[N Only with New retention and Differentiation.xlsx]'Lake P Results'!R69", 0.516)</f>
        <v>0.51600000000000001</v>
      </c>
      <c r="BI73" s="47">
        <f>BG73-BF73</f>
        <v>-0.48</v>
      </c>
      <c r="BJ73" s="47">
        <f>BH73-BF73</f>
        <v>-0.48</v>
      </c>
      <c r="BK73" s="13"/>
      <c r="BL73" s="13"/>
      <c r="BM73" s="13"/>
      <c r="BN73" s="13"/>
      <c r="BO73" s="13"/>
    </row>
    <row r="74" spans="1:67" x14ac:dyDescent="0.55000000000000004">
      <c r="A74" s="30">
        <v>220</v>
      </c>
      <c r="B74" s="6" t="s">
        <v>384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27">
        <f>HYPERLINK("[N Only Old retention.xlsx]'Lake P Results'!M70", 26.33)</f>
        <v>26.33</v>
      </c>
      <c r="AW74" s="27">
        <f>HYPERLINK("[N Only New retention.xlsx]'Lake P Results'!M70", 26.33)</f>
        <v>26.33</v>
      </c>
      <c r="AX74" s="27">
        <f>HYPERLINK("[N Only with New retention and Differentiation.xlsx]'Lake P Results'!M70", 26.33)</f>
        <v>26.33</v>
      </c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</row>
    <row r="75" spans="1:67" x14ac:dyDescent="0.55000000000000004">
      <c r="A75" s="31">
        <v>222</v>
      </c>
      <c r="B75" s="5" t="s">
        <v>385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</row>
    <row r="76" spans="1:67" x14ac:dyDescent="0.55000000000000004">
      <c r="A76" s="30">
        <v>224</v>
      </c>
      <c r="B76" s="6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</row>
    <row r="77" spans="1:67" x14ac:dyDescent="0.55000000000000004">
      <c r="A77" s="31">
        <v>226</v>
      </c>
      <c r="B77" s="5" t="s">
        <v>386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29">
        <f>HYPERLINK("[N Only Old retention.xlsx]'Lake P Results'!M73", 0.952)</f>
        <v>0.95199999999999996</v>
      </c>
      <c r="AW77" s="29">
        <f>HYPERLINK("[N Only New retention.xlsx]'Lake P Results'!M73", 0.952)</f>
        <v>0.95199999999999996</v>
      </c>
      <c r="AX77" s="29">
        <f>HYPERLINK("[N Only with New retention and Differentiation.xlsx]'Lake P Results'!M73", 0.952)</f>
        <v>0.95199999999999996</v>
      </c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29">
        <f>HYPERLINK("[N Only Old retention.xlsx]'Lake P Results'!Q73", 0.0079999999999999)</f>
        <v>7.9999999999998996E-3</v>
      </c>
      <c r="BL77" s="29">
        <f>HYPERLINK("[N Only New retention.xlsx]'Lake P Results'!Q73", 0.0079999999999999)</f>
        <v>7.9999999999998996E-3</v>
      </c>
      <c r="BM77" s="29">
        <f>HYPERLINK("[N Only with New retention and Differentiation.xlsx]'Lake P Results'!Q73", 0.0079999999999999)</f>
        <v>7.9999999999998996E-3</v>
      </c>
      <c r="BN77" s="13"/>
      <c r="BO77" s="13"/>
    </row>
    <row r="78" spans="1:67" x14ac:dyDescent="0.55000000000000004">
      <c r="A78" s="30">
        <v>232</v>
      </c>
      <c r="B78" s="6" t="s">
        <v>387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27">
        <f>HYPERLINK("[N Only Old retention.xlsx]'Lake P Results'!M74", 138.862)</f>
        <v>138.86199999999999</v>
      </c>
      <c r="AW78" s="27">
        <f>HYPERLINK("[N Only New retention.xlsx]'Lake P Results'!M74", 123.57)</f>
        <v>123.57</v>
      </c>
      <c r="AX78" s="27">
        <f>HYPERLINK("[N Only with New retention and Differentiation.xlsx]'Lake P Results'!M74", 123.57)</f>
        <v>123.57</v>
      </c>
      <c r="AY78" s="47">
        <f>AW78-AV78</f>
        <v>-15.292000000000002</v>
      </c>
      <c r="AZ78" s="47">
        <f>AX78-AV78</f>
        <v>-15.292000000000002</v>
      </c>
      <c r="BA78" s="18"/>
      <c r="BB78" s="18"/>
      <c r="BC78" s="18"/>
      <c r="BD78" s="18"/>
      <c r="BE78" s="18"/>
      <c r="BF78" s="27">
        <f>HYPERLINK("[N Only Old retention.xlsx]'Lake P Results'!R74", 2.366)</f>
        <v>2.3660000000000001</v>
      </c>
      <c r="BG78" s="27">
        <f>HYPERLINK("[N Only New retention.xlsx]'Lake P Results'!R74", 2.716)</f>
        <v>2.7160000000000002</v>
      </c>
      <c r="BH78" s="27">
        <f>HYPERLINK("[N Only with New retention and Differentiation.xlsx]'Lake P Results'!R74", 2.716)</f>
        <v>2.7160000000000002</v>
      </c>
      <c r="BI78" s="46">
        <f>BG78-BF78</f>
        <v>0.35000000000000009</v>
      </c>
      <c r="BJ78" s="46">
        <f>BH78-BF78</f>
        <v>0.35000000000000009</v>
      </c>
      <c r="BK78" s="18"/>
      <c r="BL78" s="18"/>
      <c r="BM78" s="18"/>
      <c r="BN78" s="18"/>
      <c r="BO78" s="18"/>
    </row>
    <row r="79" spans="1:67" x14ac:dyDescent="0.55000000000000004">
      <c r="A79" s="31">
        <v>242</v>
      </c>
      <c r="B79" s="5" t="s">
        <v>388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29">
        <f>HYPERLINK("[N Only New retention.xlsx]'Lake P Results'!M75", 3.19)</f>
        <v>3.19</v>
      </c>
      <c r="AX79" s="13"/>
      <c r="AY79" s="46">
        <f>AW79-AV79</f>
        <v>3.19</v>
      </c>
      <c r="AZ79" s="13"/>
      <c r="BA79" s="13"/>
      <c r="BB79" s="13"/>
      <c r="BC79" s="13"/>
      <c r="BD79" s="13"/>
      <c r="BE79" s="13"/>
      <c r="BF79" s="29">
        <f>HYPERLINK("[N Only Old retention.xlsx]'Lake P Results'!R75", 0.13)</f>
        <v>0.13</v>
      </c>
      <c r="BG79" s="29">
        <f>HYPERLINK("[N Only New retention.xlsx]'Lake P Results'!R75", 0.13)</f>
        <v>0.13</v>
      </c>
      <c r="BH79" s="29">
        <f>HYPERLINK("[N Only with New retention and Differentiation.xlsx]'Lake P Results'!R75", 0.13)</f>
        <v>0.13</v>
      </c>
      <c r="BI79" s="13"/>
      <c r="BJ79" s="13"/>
      <c r="BK79" s="13"/>
      <c r="BL79" s="13"/>
      <c r="BM79" s="13"/>
      <c r="BN79" s="13"/>
      <c r="BO79" s="13"/>
    </row>
    <row r="80" spans="1:67" x14ac:dyDescent="0.55000000000000004">
      <c r="A80" s="30">
        <v>248</v>
      </c>
      <c r="B80" s="6" t="s">
        <v>389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27">
        <f>HYPERLINK("[N Only Old retention.xlsx]'Lake P Results'!M76", 12.692)</f>
        <v>12.692</v>
      </c>
      <c r="AW80" s="27">
        <f>HYPERLINK("[N Only New retention.xlsx]'Lake P Results'!M76", 38.582)</f>
        <v>38.582000000000001</v>
      </c>
      <c r="AX80" s="27">
        <f>HYPERLINK("[N Only with New retention and Differentiation.xlsx]'Lake P Results'!M76", 38.582)</f>
        <v>38.582000000000001</v>
      </c>
      <c r="AY80" s="46">
        <f>AW80-AV80</f>
        <v>25.89</v>
      </c>
      <c r="AZ80" s="46">
        <f>AX80-AV80</f>
        <v>25.89</v>
      </c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27">
        <f>HYPERLINK("[N Only Old retention.xlsx]'Lake P Results'!Q76", 1.56)</f>
        <v>1.56</v>
      </c>
      <c r="BL80" s="27">
        <f>HYPERLINK("[N Only New retention.xlsx]'Lake P Results'!Q76", 1.668)</f>
        <v>1.6679999999999999</v>
      </c>
      <c r="BM80" s="27">
        <f>HYPERLINK("[N Only with New retention and Differentiation.xlsx]'Lake P Results'!Q76", 1.668)</f>
        <v>1.6679999999999999</v>
      </c>
      <c r="BN80" s="46">
        <f>BL80-BK80</f>
        <v>0.10799999999999987</v>
      </c>
      <c r="BO80" s="46">
        <f>BM80-BK80</f>
        <v>0.10799999999999987</v>
      </c>
    </row>
    <row r="81" spans="1:67" x14ac:dyDescent="0.55000000000000004">
      <c r="A81" s="31">
        <v>252</v>
      </c>
      <c r="B81" s="5" t="s">
        <v>390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29">
        <f>HYPERLINK("[N Only Old retention.xlsx]'Lake P Results'!O77", 13.98)</f>
        <v>13.98</v>
      </c>
      <c r="BB81" s="13"/>
      <c r="BC81" s="13"/>
      <c r="BD81" s="47">
        <f>BB81-BA81</f>
        <v>-13.98</v>
      </c>
      <c r="BE81" s="47">
        <f>BC81-BA81</f>
        <v>-13.98</v>
      </c>
      <c r="BF81" s="13"/>
      <c r="BG81" s="13"/>
      <c r="BH81" s="13"/>
      <c r="BI81" s="13"/>
      <c r="BJ81" s="13"/>
      <c r="BK81" s="13"/>
      <c r="BL81" s="13"/>
      <c r="BM81" s="13"/>
      <c r="BN81" s="13"/>
      <c r="BO81" s="13"/>
    </row>
    <row r="82" spans="1:67" x14ac:dyDescent="0.55000000000000004">
      <c r="A82" s="30">
        <v>255</v>
      </c>
      <c r="B82" s="6" t="s">
        <v>391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27">
        <f>HYPERLINK("[N Only Old retention.xlsx]'Lake P Results'!Q78", 0.05)</f>
        <v>0.05</v>
      </c>
      <c r="BL82" s="27">
        <f>HYPERLINK("[N Only New retention.xlsx]'Lake P Results'!Q78", 0.05)</f>
        <v>0.05</v>
      </c>
      <c r="BM82" s="27">
        <f>HYPERLINK("[N Only with New retention and Differentiation.xlsx]'Lake P Results'!Q78", 0.05)</f>
        <v>0.05</v>
      </c>
      <c r="BN82" s="18"/>
      <c r="BO82" s="18"/>
    </row>
    <row r="83" spans="1:67" x14ac:dyDescent="0.55000000000000004">
      <c r="A83" s="31">
        <v>256</v>
      </c>
      <c r="B83" s="5" t="s">
        <v>392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29">
        <f>HYPERLINK("[N Only Old retention.xlsx]'Lake P Results'!R79", 0.018)</f>
        <v>1.7999999999999999E-2</v>
      </c>
      <c r="BG83" s="29">
        <f>HYPERLINK("[N Only New retention.xlsx]'Lake P Results'!R79", 0.018)</f>
        <v>1.7999999999999999E-2</v>
      </c>
      <c r="BH83" s="29">
        <f>HYPERLINK("[N Only with New retention and Differentiation.xlsx]'Lake P Results'!R79", 0.018)</f>
        <v>1.7999999999999999E-2</v>
      </c>
      <c r="BI83" s="13"/>
      <c r="BJ83" s="13"/>
      <c r="BK83" s="13"/>
      <c r="BL83" s="13"/>
      <c r="BM83" s="13"/>
      <c r="BN83" s="13"/>
      <c r="BO83" s="13"/>
    </row>
    <row r="84" spans="1:67" x14ac:dyDescent="0.55000000000000004">
      <c r="A84" s="30">
        <v>258</v>
      </c>
      <c r="B84" s="6" t="s">
        <v>393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27">
        <f>HYPERLINK("[N Only Old retention.xlsx]'Lake P Results'!M80", 181.319999999955)</f>
        <v>181.319999999955</v>
      </c>
      <c r="AW84" s="18"/>
      <c r="AX84" s="18"/>
      <c r="AY84" s="47">
        <f>AW84-AV84</f>
        <v>-181.319999999955</v>
      </c>
      <c r="AZ84" s="47">
        <f>AX84-AV84</f>
        <v>-181.319999999955</v>
      </c>
      <c r="BA84" s="18"/>
      <c r="BB84" s="18"/>
      <c r="BC84" s="18"/>
      <c r="BD84" s="18"/>
      <c r="BE84" s="18"/>
      <c r="BF84" s="27">
        <f>HYPERLINK("[N Only Old retention.xlsx]'Lake P Results'!R80", 5.6)</f>
        <v>5.6</v>
      </c>
      <c r="BG84" s="18"/>
      <c r="BH84" s="18"/>
      <c r="BI84" s="47">
        <f>BG84-BF84</f>
        <v>-5.6</v>
      </c>
      <c r="BJ84" s="47">
        <f>BH84-BF84</f>
        <v>-5.6</v>
      </c>
      <c r="BK84" s="27">
        <f>HYPERLINK("[N Only Old retention.xlsx]'Lake P Results'!Q80", 2.16980117817383)</f>
        <v>2.16980117817383</v>
      </c>
      <c r="BL84" s="27">
        <f>HYPERLINK("[N Only New retention.xlsx]'Lake P Results'!Q80", 3.66980117820324)</f>
        <v>3.6698011782032398</v>
      </c>
      <c r="BM84" s="27">
        <f>HYPERLINK("[N Only with New retention and Differentiation.xlsx]'Lake P Results'!Q80", 3.66980117820324)</f>
        <v>3.6698011782032398</v>
      </c>
      <c r="BN84" s="46">
        <f>BL84-BK84</f>
        <v>1.5000000000294098</v>
      </c>
      <c r="BO84" s="46">
        <f>BM84-BK84</f>
        <v>1.5000000000294098</v>
      </c>
    </row>
    <row r="85" spans="1:67" x14ac:dyDescent="0.55000000000000004">
      <c r="A85" s="31">
        <v>260</v>
      </c>
      <c r="B85" s="5" t="s">
        <v>394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29">
        <f>HYPERLINK("[N Only Old retention.xlsx]'Lake P Results'!M81", 43.846)</f>
        <v>43.845999999999997</v>
      </c>
      <c r="AW85" s="29">
        <f>HYPERLINK("[N Only New retention.xlsx]'Lake P Results'!M81", 43.846)</f>
        <v>43.845999999999997</v>
      </c>
      <c r="AX85" s="29">
        <f>HYPERLINK("[N Only with New retention and Differentiation.xlsx]'Lake P Results'!M81", 43.846)</f>
        <v>43.845999999999997</v>
      </c>
      <c r="AY85" s="13"/>
      <c r="AZ85" s="13"/>
      <c r="BA85" s="29">
        <f>HYPERLINK("[N Only Old retention.xlsx]'Lake P Results'!O81", 13.42)</f>
        <v>13.42</v>
      </c>
      <c r="BB85" s="29">
        <f>HYPERLINK("[N Only New retention.xlsx]'Lake P Results'!O81", 13.42)</f>
        <v>13.42</v>
      </c>
      <c r="BC85" s="29">
        <f>HYPERLINK("[N Only with New retention and Differentiation.xlsx]'Lake P Results'!O81", 13.42)</f>
        <v>13.42</v>
      </c>
      <c r="BD85" s="13"/>
      <c r="BE85" s="13"/>
      <c r="BF85" s="29">
        <f>HYPERLINK("[N Only Old retention.xlsx]'Lake P Results'!R81", 2.456)</f>
        <v>2.456</v>
      </c>
      <c r="BG85" s="29">
        <f>HYPERLINK("[N Only New retention.xlsx]'Lake P Results'!R81", 2.456)</f>
        <v>2.456</v>
      </c>
      <c r="BH85" s="29">
        <f>HYPERLINK("[N Only with New retention and Differentiation.xlsx]'Lake P Results'!R81", 2.456)</f>
        <v>2.456</v>
      </c>
      <c r="BI85" s="13"/>
      <c r="BJ85" s="13"/>
      <c r="BK85" s="29">
        <f>HYPERLINK("[N Only Old retention.xlsx]'Lake P Results'!Q81", 2.498)</f>
        <v>2.4980000000000002</v>
      </c>
      <c r="BL85" s="29">
        <f>HYPERLINK("[N Only New retention.xlsx]'Lake P Results'!Q81", 3.434)</f>
        <v>3.4340000000000002</v>
      </c>
      <c r="BM85" s="29">
        <f>HYPERLINK("[N Only with New retention and Differentiation.xlsx]'Lake P Results'!Q81", 3.434)</f>
        <v>3.4340000000000002</v>
      </c>
      <c r="BN85" s="46">
        <f>BL85-BK85</f>
        <v>0.93599999999999994</v>
      </c>
      <c r="BO85" s="46">
        <f>BM85-BK85</f>
        <v>0.93599999999999994</v>
      </c>
    </row>
    <row r="86" spans="1:67" x14ac:dyDescent="0.55000000000000004">
      <c r="A86" s="30">
        <v>265</v>
      </c>
      <c r="B86" s="6" t="s">
        <v>395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27">
        <f>HYPERLINK("[N Only Old retention.xlsx]'Lake P Results'!Q82", 1.5)</f>
        <v>1.5</v>
      </c>
      <c r="BL86" s="27">
        <f>HYPERLINK("[N Only New retention.xlsx]'Lake P Results'!Q82", 1.5)</f>
        <v>1.5</v>
      </c>
      <c r="BM86" s="27">
        <f>HYPERLINK("[N Only with New retention and Differentiation.xlsx]'Lake P Results'!Q82", 1.5)</f>
        <v>1.5</v>
      </c>
      <c r="BN86" s="18"/>
      <c r="BO86" s="18"/>
    </row>
    <row r="87" spans="1:67" x14ac:dyDescent="0.55000000000000004">
      <c r="A87" s="31">
        <v>268</v>
      </c>
      <c r="B87" s="5" t="s">
        <v>396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</row>
    <row r="88" spans="1:67" x14ac:dyDescent="0.55000000000000004">
      <c r="A88" s="30">
        <v>269</v>
      </c>
      <c r="B88" s="6" t="s">
        <v>397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</row>
    <row r="89" spans="1:67" x14ac:dyDescent="0.55000000000000004">
      <c r="A89" s="31">
        <v>270</v>
      </c>
      <c r="B89" s="5" t="s">
        <v>398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</row>
    <row r="90" spans="1:67" x14ac:dyDescent="0.55000000000000004">
      <c r="A90" s="30">
        <v>271</v>
      </c>
      <c r="B90" s="6" t="s">
        <v>399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27">
        <f>HYPERLINK("[N Only Old retention.xlsx]'Lake P Results'!M86", 4.712)</f>
        <v>4.7119999999999997</v>
      </c>
      <c r="AW90" s="18"/>
      <c r="AX90" s="18"/>
      <c r="AY90" s="47">
        <f>AW90-AV90</f>
        <v>-4.7119999999999997</v>
      </c>
      <c r="AZ90" s="47">
        <f>AX90-AV90</f>
        <v>-4.7119999999999997</v>
      </c>
      <c r="BA90" s="18"/>
      <c r="BB90" s="18"/>
      <c r="BC90" s="18"/>
      <c r="BD90" s="18"/>
      <c r="BE90" s="18"/>
      <c r="BF90" s="27">
        <f>HYPERLINK("[N Only Old retention.xlsx]'Lake P Results'!R86", 0.0219999999999999)</f>
        <v>2.1999999999999902E-2</v>
      </c>
      <c r="BG90" s="27">
        <f>HYPERLINK("[N Only New retention.xlsx]'Lake P Results'!R86", 0.0219999999999999)</f>
        <v>2.1999999999999902E-2</v>
      </c>
      <c r="BH90" s="27">
        <f>HYPERLINK("[N Only with New retention and Differentiation.xlsx]'Lake P Results'!R86", 0.0219999999999999)</f>
        <v>2.1999999999999902E-2</v>
      </c>
      <c r="BI90" s="18"/>
      <c r="BJ90" s="18"/>
      <c r="BK90" s="27">
        <f>HYPERLINK("[N Only Old retention.xlsx]'Lake P Results'!Q86", 0.103999999926834)</f>
        <v>0.10399999992683399</v>
      </c>
      <c r="BL90" s="27">
        <f>HYPERLINK("[N Only New retention.xlsx]'Lake P Results'!Q86", 0.104)</f>
        <v>0.104</v>
      </c>
      <c r="BM90" s="27">
        <f>HYPERLINK("[N Only with New retention and Differentiation.xlsx]'Lake P Results'!Q86", 0.104)</f>
        <v>0.104</v>
      </c>
      <c r="BN90" s="46">
        <f>BL90-BK90</f>
        <v>7.3166001035573913E-11</v>
      </c>
      <c r="BO90" s="46">
        <f>BM90-BK90</f>
        <v>7.3166001035573913E-11</v>
      </c>
    </row>
    <row r="91" spans="1:67" x14ac:dyDescent="0.55000000000000004">
      <c r="A91" s="31">
        <v>273</v>
      </c>
      <c r="B91" s="5" t="s">
        <v>400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</row>
    <row r="92" spans="1:67" x14ac:dyDescent="0.55000000000000004">
      <c r="A92" s="30">
        <v>274</v>
      </c>
      <c r="B92" s="6" t="s">
        <v>401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27">
        <f>HYPERLINK("[N Only Old retention.xlsx]'Lake P Results'!M88", 431.591999999899)</f>
        <v>431.59199999989897</v>
      </c>
      <c r="AW92" s="27">
        <f>HYPERLINK("[N Only New retention.xlsx]'Lake P Results'!M88", 1468.002)</f>
        <v>1468.002</v>
      </c>
      <c r="AX92" s="27">
        <f>HYPERLINK("[N Only with New retention and Differentiation.xlsx]'Lake P Results'!M88", 1468.002)</f>
        <v>1468.002</v>
      </c>
      <c r="AY92" s="46">
        <f>AW92-AV92</f>
        <v>1036.410000000101</v>
      </c>
      <c r="AZ92" s="46">
        <f>AX92-AV92</f>
        <v>1036.410000000101</v>
      </c>
      <c r="BA92" s="27">
        <f>HYPERLINK("[N Only Old retention.xlsx]'Lake P Results'!O88", 45.68)</f>
        <v>45.68</v>
      </c>
      <c r="BB92" s="27">
        <f>HYPERLINK("[N Only New retention.xlsx]'Lake P Results'!O88", 216.066)</f>
        <v>216.066</v>
      </c>
      <c r="BC92" s="27">
        <f>HYPERLINK("[N Only with New retention and Differentiation.xlsx]'Lake P Results'!O88", 216.066)</f>
        <v>216.066</v>
      </c>
      <c r="BD92" s="46">
        <f>BB92-BA92</f>
        <v>170.386</v>
      </c>
      <c r="BE92" s="46">
        <f>BC92-BA92</f>
        <v>170.386</v>
      </c>
      <c r="BF92" s="27">
        <f>HYPERLINK("[N Only Old retention.xlsx]'Lake P Results'!R88", 33.634)</f>
        <v>33.634</v>
      </c>
      <c r="BG92" s="27">
        <f>HYPERLINK("[N Only New retention.xlsx]'Lake P Results'!R88", 32.674)</f>
        <v>32.673999999999999</v>
      </c>
      <c r="BH92" s="27">
        <f>HYPERLINK("[N Only with New retention and Differentiation.xlsx]'Lake P Results'!R88", 32.674)</f>
        <v>32.673999999999999</v>
      </c>
      <c r="BI92" s="47">
        <f>BG92-BF92</f>
        <v>-0.96000000000000085</v>
      </c>
      <c r="BJ92" s="47">
        <f>BH92-BF92</f>
        <v>-0.96000000000000085</v>
      </c>
      <c r="BK92" s="27">
        <f>HYPERLINK("[N Only Old retention.xlsx]'Lake P Results'!Q88", 0.28)</f>
        <v>0.28000000000000003</v>
      </c>
      <c r="BL92" s="18"/>
      <c r="BM92" s="18"/>
      <c r="BN92" s="47">
        <f>BL92-BK92</f>
        <v>-0.28000000000000003</v>
      </c>
      <c r="BO92" s="47">
        <f>BM92-BK92</f>
        <v>-0.28000000000000003</v>
      </c>
    </row>
    <row r="93" spans="1:67" x14ac:dyDescent="0.55000000000000004">
      <c r="A93" s="31">
        <v>285</v>
      </c>
      <c r="B93" s="5" t="s">
        <v>402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</row>
    <row r="94" spans="1:67" x14ac:dyDescent="0.55000000000000004">
      <c r="A94" s="30">
        <v>286</v>
      </c>
      <c r="B94" s="6" t="s">
        <v>403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27">
        <f>HYPERLINK("[N Only Old retention.xlsx]'Lake P Results'!M90", 93.2499999998822)</f>
        <v>93.249999999882206</v>
      </c>
      <c r="AW94" s="27">
        <f>HYPERLINK("[N Only New retention.xlsx]'Lake P Results'!M90", 53.274)</f>
        <v>53.274000000000001</v>
      </c>
      <c r="AX94" s="27">
        <f>HYPERLINK("[N Only with New retention and Differentiation.xlsx]'Lake P Results'!M90", 53.274)</f>
        <v>53.274000000000001</v>
      </c>
      <c r="AY94" s="47">
        <f>AW94-AV94</f>
        <v>-39.975999999882205</v>
      </c>
      <c r="AZ94" s="47">
        <f>AX94-AV94</f>
        <v>-39.975999999882205</v>
      </c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27">
        <f>HYPERLINK("[N Only Old retention.xlsx]'Lake P Results'!Q90", 10.0719999999844)</f>
        <v>10.071999999984399</v>
      </c>
      <c r="BL94" s="27">
        <f>HYPERLINK("[N Only New retention.xlsx]'Lake P Results'!Q90", 6.512)</f>
        <v>6.5119999999999996</v>
      </c>
      <c r="BM94" s="27">
        <f>HYPERLINK("[N Only with New retention and Differentiation.xlsx]'Lake P Results'!Q90", 6.512)</f>
        <v>6.5119999999999996</v>
      </c>
      <c r="BN94" s="47">
        <f>BL94-BK94</f>
        <v>-3.5599999999843996</v>
      </c>
      <c r="BO94" s="47">
        <f>BM94-BK94</f>
        <v>-3.5599999999843996</v>
      </c>
    </row>
    <row r="95" spans="1:67" x14ac:dyDescent="0.55000000000000004">
      <c r="A95" s="31">
        <v>290</v>
      </c>
      <c r="B95" s="5" t="s">
        <v>404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29">
        <f>HYPERLINK("[N Only Old retention.xlsx]'Lake P Results'!M91", 5.33)</f>
        <v>5.33</v>
      </c>
      <c r="AW95" s="13"/>
      <c r="AX95" s="13"/>
      <c r="AY95" s="47">
        <f>AW95-AV95</f>
        <v>-5.33</v>
      </c>
      <c r="AZ95" s="47">
        <f>AX95-AV95</f>
        <v>-5.33</v>
      </c>
      <c r="BA95" s="13"/>
      <c r="BB95" s="13"/>
      <c r="BC95" s="13"/>
      <c r="BD95" s="13"/>
      <c r="BE95" s="13"/>
      <c r="BF95" s="29">
        <f>HYPERLINK("[N Only Old retention.xlsx]'Lake P Results'!R91", 3.04)</f>
        <v>3.04</v>
      </c>
      <c r="BG95" s="29">
        <f>HYPERLINK("[N Only New retention.xlsx]'Lake P Results'!R91", 2.872)</f>
        <v>2.8719999999999999</v>
      </c>
      <c r="BH95" s="29">
        <f>HYPERLINK("[N Only with New retention and Differentiation.xlsx]'Lake P Results'!R91", 2.872)</f>
        <v>2.8719999999999999</v>
      </c>
      <c r="BI95" s="47">
        <f>BG95-BF95</f>
        <v>-0.16800000000000015</v>
      </c>
      <c r="BJ95" s="47">
        <f>BH95-BF95</f>
        <v>-0.16800000000000015</v>
      </c>
      <c r="BK95" s="13"/>
      <c r="BL95" s="13"/>
      <c r="BM95" s="13"/>
      <c r="BN95" s="13"/>
      <c r="BO95" s="13"/>
    </row>
    <row r="96" spans="1:67" x14ac:dyDescent="0.55000000000000004">
      <c r="A96" s="30">
        <v>294</v>
      </c>
      <c r="B96" s="6" t="s">
        <v>405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27">
        <f>HYPERLINK("[N Only Old retention.xlsx]'Lake P Results'!M92", 25.41)</f>
        <v>25.41</v>
      </c>
      <c r="AW96" s="27">
        <f>HYPERLINK("[N Only New retention.xlsx]'Lake P Results'!M92", 18.19)</f>
        <v>18.190000000000001</v>
      </c>
      <c r="AX96" s="27">
        <f>HYPERLINK("[N Only with New retention and Differentiation.xlsx]'Lake P Results'!M92", 18.19)</f>
        <v>18.190000000000001</v>
      </c>
      <c r="AY96" s="47">
        <f>AW96-AV96</f>
        <v>-7.2199999999999989</v>
      </c>
      <c r="AZ96" s="47">
        <f>AX96-AV96</f>
        <v>-7.2199999999999989</v>
      </c>
      <c r="BA96" s="27">
        <f>HYPERLINK("[N Only Old retention.xlsx]'Lake P Results'!O92", 9.5)</f>
        <v>9.5</v>
      </c>
      <c r="BB96" s="27">
        <f>HYPERLINK("[N Only New retention.xlsx]'Lake P Results'!O92", 2.11)</f>
        <v>2.11</v>
      </c>
      <c r="BC96" s="27">
        <f>HYPERLINK("[N Only with New retention and Differentiation.xlsx]'Lake P Results'!O92", 2.11)</f>
        <v>2.11</v>
      </c>
      <c r="BD96" s="47">
        <f>BB96-BA96</f>
        <v>-7.3900000000000006</v>
      </c>
      <c r="BE96" s="47">
        <f>BC96-BA96</f>
        <v>-7.3900000000000006</v>
      </c>
      <c r="BF96" s="27">
        <f>HYPERLINK("[N Only Old retention.xlsx]'Lake P Results'!R92", 0.416)</f>
        <v>0.41599999999999998</v>
      </c>
      <c r="BG96" s="18"/>
      <c r="BH96" s="18"/>
      <c r="BI96" s="47">
        <f>BG96-BF96</f>
        <v>-0.41599999999999998</v>
      </c>
      <c r="BJ96" s="47">
        <f>BH96-BF96</f>
        <v>-0.41599999999999998</v>
      </c>
      <c r="BK96" s="18"/>
      <c r="BL96" s="27">
        <f>HYPERLINK("[N Only New retention.xlsx]'Lake P Results'!Q92", 0.84)</f>
        <v>0.84</v>
      </c>
      <c r="BM96" s="27">
        <f>HYPERLINK("[N Only with New retention and Differentiation.xlsx]'Lake P Results'!Q92", 0.84)</f>
        <v>0.84</v>
      </c>
      <c r="BN96" s="46">
        <f>BL96-BK96</f>
        <v>0.84</v>
      </c>
      <c r="BO96" s="46">
        <f>BM96-BK96</f>
        <v>0.84</v>
      </c>
    </row>
    <row r="97" spans="1:67" x14ac:dyDescent="0.55000000000000004">
      <c r="A97" s="31">
        <v>295</v>
      </c>
      <c r="B97" s="5" t="s">
        <v>406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29">
        <f>HYPERLINK("[N Only Old retention.xlsx]'Lake P Results'!O93", 42.55)</f>
        <v>42.55</v>
      </c>
      <c r="BB97" s="29">
        <f>HYPERLINK("[N Only New retention.xlsx]'Lake P Results'!O93", 42.55)</f>
        <v>42.55</v>
      </c>
      <c r="BC97" s="29">
        <f>HYPERLINK("[N Only with New retention and Differentiation.xlsx]'Lake P Results'!O93", 42.55)</f>
        <v>42.55</v>
      </c>
      <c r="BD97" s="13"/>
      <c r="BE97" s="13"/>
      <c r="BF97" s="29">
        <f>HYPERLINK("[N Only Old retention.xlsx]'Lake P Results'!R93", 0.0499999999999999)</f>
        <v>4.9999999999999899E-2</v>
      </c>
      <c r="BG97" s="29">
        <f>HYPERLINK("[N Only New retention.xlsx]'Lake P Results'!R93", 0.0499999999999999)</f>
        <v>4.9999999999999899E-2</v>
      </c>
      <c r="BH97" s="29">
        <f>HYPERLINK("[N Only with New retention and Differentiation.xlsx]'Lake P Results'!R93", 0.0499999999999999)</f>
        <v>4.9999999999999899E-2</v>
      </c>
      <c r="BI97" s="13"/>
      <c r="BJ97" s="13"/>
      <c r="BK97" s="13"/>
      <c r="BL97" s="13"/>
      <c r="BM97" s="13"/>
      <c r="BN97" s="13"/>
      <c r="BO97" s="13"/>
    </row>
    <row r="98" spans="1:67" x14ac:dyDescent="0.55000000000000004">
      <c r="A98" s="30">
        <v>296</v>
      </c>
      <c r="B98" s="6" t="s">
        <v>407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27">
        <f>HYPERLINK("[N Only Old retention.xlsx]'Lake P Results'!M94", 694.483999999893)</f>
        <v>694.48399999989294</v>
      </c>
      <c r="AW98" s="27">
        <f>HYPERLINK("[N Only New retention.xlsx]'Lake P Results'!M94", 429.344)</f>
        <v>429.34399999999999</v>
      </c>
      <c r="AX98" s="27">
        <f>HYPERLINK("[N Only with New retention and Differentiation.xlsx]'Lake P Results'!M94", 444.744)</f>
        <v>444.74400000000003</v>
      </c>
      <c r="AY98" s="47">
        <f>AW98-AV98</f>
        <v>-265.13999999989295</v>
      </c>
      <c r="AZ98" s="47">
        <f>AX98-AV98</f>
        <v>-249.73999999989292</v>
      </c>
      <c r="BA98" s="27">
        <f>HYPERLINK("[N Only Old retention.xlsx]'Lake P Results'!O94", 28.89)</f>
        <v>28.89</v>
      </c>
      <c r="BB98" s="27">
        <f>HYPERLINK("[N Only New retention.xlsx]'Lake P Results'!O94", 11.24)</f>
        <v>11.24</v>
      </c>
      <c r="BC98" s="27">
        <f>HYPERLINK("[N Only with New retention and Differentiation.xlsx]'Lake P Results'!O94", 11.24)</f>
        <v>11.24</v>
      </c>
      <c r="BD98" s="47">
        <f>BB98-BA98</f>
        <v>-17.649999999999999</v>
      </c>
      <c r="BE98" s="47">
        <f>BC98-BA98</f>
        <v>-17.649999999999999</v>
      </c>
      <c r="BF98" s="18"/>
      <c r="BG98" s="27">
        <f>HYPERLINK("[N Only New retention.xlsx]'Lake P Results'!R94", 5.35)</f>
        <v>5.35</v>
      </c>
      <c r="BH98" s="27">
        <f>HYPERLINK("[N Only with New retention and Differentiation.xlsx]'Lake P Results'!R94", 5.35)</f>
        <v>5.35</v>
      </c>
      <c r="BI98" s="46">
        <f>BG98-BF98</f>
        <v>5.35</v>
      </c>
      <c r="BJ98" s="46">
        <f>BH98-BF98</f>
        <v>5.35</v>
      </c>
      <c r="BK98" s="27">
        <f>HYPERLINK("[N Only Old retention.xlsx]'Lake P Results'!Q94", 15.392)</f>
        <v>15.391999999999999</v>
      </c>
      <c r="BL98" s="27">
        <f>HYPERLINK("[N Only New retention.xlsx]'Lake P Results'!Q94", 23.118)</f>
        <v>23.117999999999999</v>
      </c>
      <c r="BM98" s="27">
        <f>HYPERLINK("[N Only with New retention and Differentiation.xlsx]'Lake P Results'!Q94", 23.118)</f>
        <v>23.117999999999999</v>
      </c>
      <c r="BN98" s="46">
        <f>BL98-BK98</f>
        <v>7.7259999999999991</v>
      </c>
      <c r="BO98" s="46">
        <f>BM98-BK98</f>
        <v>7.7259999999999991</v>
      </c>
    </row>
    <row r="99" spans="1:67" x14ac:dyDescent="0.55000000000000004">
      <c r="A99" s="31">
        <v>297</v>
      </c>
      <c r="B99" s="5" t="s">
        <v>408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29">
        <f>HYPERLINK("[N Only Old retention.xlsx]'Lake P Results'!O95", 96.472)</f>
        <v>96.471999999999994</v>
      </c>
      <c r="BB99" s="29">
        <f>HYPERLINK("[N Only New retention.xlsx]'Lake P Results'!O95", 141.922)</f>
        <v>141.922</v>
      </c>
      <c r="BC99" s="29">
        <f>HYPERLINK("[N Only with New retention and Differentiation.xlsx]'Lake P Results'!O95", 131.912)</f>
        <v>131.91200000000001</v>
      </c>
      <c r="BD99" s="46">
        <f>BB99-BA99</f>
        <v>45.45</v>
      </c>
      <c r="BE99" s="46">
        <f>BC99-BA99</f>
        <v>35.440000000000012</v>
      </c>
      <c r="BF99" s="13"/>
      <c r="BG99" s="29">
        <f>HYPERLINK("[N Only New retention.xlsx]'Lake P Results'!R95", 0.12)</f>
        <v>0.12</v>
      </c>
      <c r="BH99" s="29">
        <f>HYPERLINK("[N Only with New retention and Differentiation.xlsx]'Lake P Results'!R95", 0.12)</f>
        <v>0.12</v>
      </c>
      <c r="BI99" s="46">
        <f>BG99-BF99</f>
        <v>0.12</v>
      </c>
      <c r="BJ99" s="46">
        <f>BH99-BF99</f>
        <v>0.12</v>
      </c>
      <c r="BK99" s="29">
        <f>HYPERLINK("[N Only Old retention.xlsx]'Lake P Results'!Q95", 3.272)</f>
        <v>3.2719999999999998</v>
      </c>
      <c r="BL99" s="29">
        <f>HYPERLINK("[N Only New retention.xlsx]'Lake P Results'!Q95", 2.742)</f>
        <v>2.742</v>
      </c>
      <c r="BM99" s="29">
        <f>HYPERLINK("[N Only with New retention and Differentiation.xlsx]'Lake P Results'!Q95", 3.272)</f>
        <v>3.2719999999999998</v>
      </c>
      <c r="BN99" s="47">
        <f>BL99-BK99</f>
        <v>-0.5299999999999998</v>
      </c>
      <c r="BO99" s="13"/>
    </row>
    <row r="100" spans="1:67" x14ac:dyDescent="0.55000000000000004">
      <c r="A100" s="30">
        <v>299</v>
      </c>
      <c r="B100" s="6" t="s">
        <v>409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</row>
    <row r="101" spans="1:67" x14ac:dyDescent="0.55000000000000004">
      <c r="A101" s="31">
        <v>301</v>
      </c>
      <c r="B101" s="5" t="s">
        <v>410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29">
        <f>HYPERLINK("[N Only Old retention.xlsx]'Lake P Results'!M97", 55.59)</f>
        <v>55.59</v>
      </c>
      <c r="AW101" s="29">
        <f>HYPERLINK("[N Only New retention.xlsx]'Lake P Results'!M97", 100.12)</f>
        <v>100.12</v>
      </c>
      <c r="AX101" s="29">
        <f>HYPERLINK("[N Only with New retention and Differentiation.xlsx]'Lake P Results'!M97", 100.12)</f>
        <v>100.12</v>
      </c>
      <c r="AY101" s="46">
        <f>AW101-AV101</f>
        <v>44.53</v>
      </c>
      <c r="AZ101" s="46">
        <f>AX101-AV101</f>
        <v>44.53</v>
      </c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29">
        <f>HYPERLINK("[N Only Old retention.xlsx]'Lake P Results'!Q97", 87.81)</f>
        <v>87.81</v>
      </c>
      <c r="BL101" s="29">
        <f>HYPERLINK("[N Only New retention.xlsx]'Lake P Results'!Q97", 83.05)</f>
        <v>83.05</v>
      </c>
      <c r="BM101" s="29">
        <f>HYPERLINK("[N Only with New retention and Differentiation.xlsx]'Lake P Results'!Q97", 83.05)</f>
        <v>83.05</v>
      </c>
      <c r="BN101" s="47">
        <f>BL101-BK101</f>
        <v>-4.7600000000000051</v>
      </c>
      <c r="BO101" s="47">
        <f>BM101-BK101</f>
        <v>-4.7600000000000051</v>
      </c>
    </row>
    <row r="102" spans="1:67" x14ac:dyDescent="0.55000000000000004">
      <c r="A102" s="30">
        <v>303</v>
      </c>
      <c r="B102" s="6" t="s">
        <v>411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27">
        <f>HYPERLINK("[N Only Old retention.xlsx]'Lake P Results'!M98", 126.909999999915)</f>
        <v>126.909999999915</v>
      </c>
      <c r="AW102" s="27">
        <f>HYPERLINK("[N Only New retention.xlsx]'Lake P Results'!M98", 64.17)</f>
        <v>64.17</v>
      </c>
      <c r="AX102" s="27">
        <f>HYPERLINK("[N Only with New retention and Differentiation.xlsx]'Lake P Results'!M98", 57.65)</f>
        <v>57.65</v>
      </c>
      <c r="AY102" s="47">
        <f>AW102-AV102</f>
        <v>-62.739999999915</v>
      </c>
      <c r="AZ102" s="47">
        <f>AX102-AV102</f>
        <v>-69.25999999991501</v>
      </c>
      <c r="BA102" s="27">
        <f>HYPERLINK("[N Only Old retention.xlsx]'Lake P Results'!O98", 35.44)</f>
        <v>35.44</v>
      </c>
      <c r="BB102" s="18"/>
      <c r="BC102" s="18"/>
      <c r="BD102" s="47">
        <f>BB102-BA102</f>
        <v>-35.44</v>
      </c>
      <c r="BE102" s="47">
        <f>BC102-BA102</f>
        <v>-35.44</v>
      </c>
      <c r="BF102" s="27">
        <f>HYPERLINK("[N Only Old retention.xlsx]'Lake P Results'!R98", 0.11)</f>
        <v>0.11</v>
      </c>
      <c r="BG102" s="27">
        <f>HYPERLINK("[N Only New retention.xlsx]'Lake P Results'!R98", 0.11)</f>
        <v>0.11</v>
      </c>
      <c r="BH102" s="27">
        <f>HYPERLINK("[N Only with New retention and Differentiation.xlsx]'Lake P Results'!R98", 0.11)</f>
        <v>0.11</v>
      </c>
      <c r="BI102" s="18"/>
      <c r="BJ102" s="18"/>
      <c r="BK102" s="18"/>
      <c r="BL102" s="18"/>
      <c r="BM102" s="18"/>
      <c r="BN102" s="18"/>
      <c r="BO102" s="18"/>
    </row>
    <row r="103" spans="1:67" x14ac:dyDescent="0.55000000000000004">
      <c r="A103" s="31">
        <v>307</v>
      </c>
      <c r="B103" s="5" t="s">
        <v>412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29">
        <f>HYPERLINK("[N Only Old retention.xlsx]'Lake P Results'!M99", 1264.054)</f>
        <v>1264.0540000000001</v>
      </c>
      <c r="AW103" s="29">
        <f>HYPERLINK("[N Only New retention.xlsx]'Lake P Results'!M99", 871.814)</f>
        <v>871.81399999999996</v>
      </c>
      <c r="AX103" s="29">
        <f>HYPERLINK("[N Only with New retention and Differentiation.xlsx]'Lake P Results'!M99", 871.814)</f>
        <v>871.81399999999996</v>
      </c>
      <c r="AY103" s="47">
        <f>AW103-AV103</f>
        <v>-392.24000000000012</v>
      </c>
      <c r="AZ103" s="47">
        <f>AX103-AV103</f>
        <v>-392.24000000000012</v>
      </c>
      <c r="BA103" s="29">
        <f>HYPERLINK("[N Only Old retention.xlsx]'Lake P Results'!O99", 33.59)</f>
        <v>33.590000000000003</v>
      </c>
      <c r="BB103" s="29">
        <f>HYPERLINK("[N Only New retention.xlsx]'Lake P Results'!O99", 31.72)</f>
        <v>31.72</v>
      </c>
      <c r="BC103" s="29">
        <f>HYPERLINK("[N Only with New retention and Differentiation.xlsx]'Lake P Results'!O99", 31.72)</f>
        <v>31.72</v>
      </c>
      <c r="BD103" s="47">
        <f>BB103-BA103</f>
        <v>-1.8700000000000045</v>
      </c>
      <c r="BE103" s="47">
        <f>BC103-BA103</f>
        <v>-1.8700000000000045</v>
      </c>
      <c r="BF103" s="29">
        <f>HYPERLINK("[N Only Old retention.xlsx]'Lake P Results'!R99", 59.9657647058823)</f>
        <v>59.9657647058823</v>
      </c>
      <c r="BG103" s="29">
        <f>HYPERLINK("[N Only New retention.xlsx]'Lake P Results'!R99", 57.6457647058823)</f>
        <v>57.6457647058823</v>
      </c>
      <c r="BH103" s="29">
        <f>HYPERLINK("[N Only with New retention and Differentiation.xlsx]'Lake P Results'!R99", 57.6457647058823)</f>
        <v>57.6457647058823</v>
      </c>
      <c r="BI103" s="47">
        <f>BG103-BF103</f>
        <v>-2.3200000000000003</v>
      </c>
      <c r="BJ103" s="47">
        <f>BH103-BF103</f>
        <v>-2.3200000000000003</v>
      </c>
      <c r="BK103" s="29">
        <f>HYPERLINK("[N Only Old retention.xlsx]'Lake P Results'!Q99", 48.98)</f>
        <v>48.98</v>
      </c>
      <c r="BL103" s="29">
        <f>HYPERLINK("[N Only New retention.xlsx]'Lake P Results'!Q99", 17.42)</f>
        <v>17.420000000000002</v>
      </c>
      <c r="BM103" s="29">
        <f>HYPERLINK("[N Only with New retention and Differentiation.xlsx]'Lake P Results'!Q99", 17.42)</f>
        <v>17.420000000000002</v>
      </c>
      <c r="BN103" s="47">
        <f>BL103-BK103</f>
        <v>-31.559999999999995</v>
      </c>
      <c r="BO103" s="47">
        <f>BM103-BK103</f>
        <v>-31.559999999999995</v>
      </c>
    </row>
    <row r="104" spans="1:67" x14ac:dyDescent="0.55000000000000004">
      <c r="A104" s="30">
        <v>308</v>
      </c>
      <c r="B104" s="6" t="s">
        <v>413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27">
        <f>HYPERLINK("[N Only Old retention.xlsx]'Lake P Results'!M100", 200.81)</f>
        <v>200.81</v>
      </c>
      <c r="AW104" s="27">
        <f>HYPERLINK("[N Only New retention.xlsx]'Lake P Results'!M100", 175.91)</f>
        <v>175.91</v>
      </c>
      <c r="AX104" s="27">
        <f>HYPERLINK("[N Only with New retention and Differentiation.xlsx]'Lake P Results'!M100", 168.22)</f>
        <v>168.22</v>
      </c>
      <c r="AY104" s="47">
        <f>AW104-AV104</f>
        <v>-24.900000000000006</v>
      </c>
      <c r="AZ104" s="47">
        <f>AX104-AV104</f>
        <v>-32.590000000000003</v>
      </c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27">
        <f>HYPERLINK("[N Only Old retention.xlsx]'Lake P Results'!Q100", 0.33)</f>
        <v>0.33</v>
      </c>
      <c r="BL104" s="27">
        <f>HYPERLINK("[N Only New retention.xlsx]'Lake P Results'!Q100", 0.0899999999999999)</f>
        <v>8.99999999999999E-2</v>
      </c>
      <c r="BM104" s="27">
        <f>HYPERLINK("[N Only with New retention and Differentiation.xlsx]'Lake P Results'!Q100", 0.0899999999999999)</f>
        <v>8.99999999999999E-2</v>
      </c>
      <c r="BN104" s="47">
        <f>BL104-BK104</f>
        <v>-0.2400000000000001</v>
      </c>
      <c r="BO104" s="47">
        <f>BM104-BK104</f>
        <v>-0.2400000000000001</v>
      </c>
    </row>
    <row r="105" spans="1:67" x14ac:dyDescent="0.55000000000000004">
      <c r="A105" s="31">
        <v>309</v>
      </c>
      <c r="B105" s="5" t="s">
        <v>414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29">
        <f>HYPERLINK("[N Only New retention.xlsx]'Lake P Results'!O101", 8.18)</f>
        <v>8.18</v>
      </c>
      <c r="BC105" s="29">
        <f>HYPERLINK("[N Only with New retention and Differentiation.xlsx]'Lake P Results'!O101", 8.18)</f>
        <v>8.18</v>
      </c>
      <c r="BD105" s="46">
        <f>BB105-BA105</f>
        <v>8.18</v>
      </c>
      <c r="BE105" s="46">
        <f>BC105-BA105</f>
        <v>8.18</v>
      </c>
      <c r="BF105" s="13"/>
      <c r="BG105" s="13"/>
      <c r="BH105" s="13"/>
      <c r="BI105" s="13"/>
      <c r="BJ105" s="13"/>
      <c r="BK105" s="29">
        <f>HYPERLINK("[N Only Old retention.xlsx]'Lake P Results'!Q101", 1.32)</f>
        <v>1.32</v>
      </c>
      <c r="BL105" s="29">
        <f>HYPERLINK("[N Only New retention.xlsx]'Lake P Results'!Q101", 0.69)</f>
        <v>0.69</v>
      </c>
      <c r="BM105" s="29">
        <f>HYPERLINK("[N Only with New retention and Differentiation.xlsx]'Lake P Results'!Q101", 1.64)</f>
        <v>1.64</v>
      </c>
      <c r="BN105" s="47">
        <f>BL105-BK105</f>
        <v>-0.63000000000000012</v>
      </c>
      <c r="BO105" s="46">
        <f>BM105-BK105</f>
        <v>0.31999999999999984</v>
      </c>
    </row>
    <row r="106" spans="1:67" x14ac:dyDescent="0.55000000000000004">
      <c r="A106" s="30">
        <v>310</v>
      </c>
      <c r="B106" s="6" t="s">
        <v>415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27">
        <f>HYPERLINK("[N Only Old retention.xlsx]'Lake P Results'!M102", 67.62)</f>
        <v>67.62</v>
      </c>
      <c r="AW106" s="27">
        <f>HYPERLINK("[N Only New retention.xlsx]'Lake P Results'!M102", 122.28)</f>
        <v>122.28</v>
      </c>
      <c r="AX106" s="27">
        <f>HYPERLINK("[N Only with New retention and Differentiation.xlsx]'Lake P Results'!M102", 122.28)</f>
        <v>122.28</v>
      </c>
      <c r="AY106" s="46">
        <f>AW106-AV106</f>
        <v>54.66</v>
      </c>
      <c r="AZ106" s="46">
        <f>AX106-AV106</f>
        <v>54.66</v>
      </c>
      <c r="BA106" s="27">
        <f>HYPERLINK("[N Only Old retention.xlsx]'Lake P Results'!O102", 1.64)</f>
        <v>1.64</v>
      </c>
      <c r="BB106" s="27">
        <f>HYPERLINK("[N Only New retention.xlsx]'Lake P Results'!O102", 12.35)</f>
        <v>12.35</v>
      </c>
      <c r="BC106" s="27">
        <f>HYPERLINK("[N Only with New retention and Differentiation.xlsx]'Lake P Results'!O102", 12.35)</f>
        <v>12.35</v>
      </c>
      <c r="BD106" s="46">
        <f>BB106-BA106</f>
        <v>10.709999999999999</v>
      </c>
      <c r="BE106" s="46">
        <f>BC106-BA106</f>
        <v>10.709999999999999</v>
      </c>
      <c r="BF106" s="27">
        <f>HYPERLINK("[N Only Old retention.xlsx]'Lake P Results'!R102", 12.814)</f>
        <v>12.814</v>
      </c>
      <c r="BG106" s="27">
        <f>HYPERLINK("[N Only New retention.xlsx]'Lake P Results'!R102", 12.814)</f>
        <v>12.814</v>
      </c>
      <c r="BH106" s="27">
        <f>HYPERLINK("[N Only with New retention and Differentiation.xlsx]'Lake P Results'!R102", 12.814)</f>
        <v>12.814</v>
      </c>
      <c r="BI106" s="18"/>
      <c r="BJ106" s="18"/>
      <c r="BK106" s="27">
        <f>HYPERLINK("[N Only Old retention.xlsx]'Lake P Results'!Q102", 1.03999999989708)</f>
        <v>1.0399999998970799</v>
      </c>
      <c r="BL106" s="27">
        <f>HYPERLINK("[N Only New retention.xlsx]'Lake P Results'!Q102", 1.11)</f>
        <v>1.1100000000000001</v>
      </c>
      <c r="BM106" s="27">
        <f>HYPERLINK("[N Only with New retention and Differentiation.xlsx]'Lake P Results'!Q102", 1.11)</f>
        <v>1.1100000000000001</v>
      </c>
      <c r="BN106" s="46">
        <f>BL106-BK106</f>
        <v>7.0000000102920179E-2</v>
      </c>
      <c r="BO106" s="46">
        <f>BM106-BK106</f>
        <v>7.0000000102920179E-2</v>
      </c>
    </row>
    <row r="107" spans="1:67" x14ac:dyDescent="0.55000000000000004">
      <c r="A107" s="31">
        <v>311</v>
      </c>
      <c r="B107" s="5" t="s">
        <v>416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</row>
    <row r="108" spans="1:67" x14ac:dyDescent="0.55000000000000004">
      <c r="A108" s="30">
        <v>317</v>
      </c>
      <c r="B108" s="6" t="s">
        <v>417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27">
        <f>HYPERLINK("[N Only Old retention.xlsx]'Lake P Results'!M104", 37.98)</f>
        <v>37.979999999999997</v>
      </c>
      <c r="AW108" s="27">
        <f>HYPERLINK("[N Only New retention.xlsx]'Lake P Results'!M104", 53.88)</f>
        <v>53.88</v>
      </c>
      <c r="AX108" s="27">
        <f>HYPERLINK("[N Only with New retention and Differentiation.xlsx]'Lake P Results'!M104", 53.88)</f>
        <v>53.88</v>
      </c>
      <c r="AY108" s="46">
        <f>AW108-AV108</f>
        <v>15.900000000000006</v>
      </c>
      <c r="AZ108" s="46">
        <f>AX108-AV108</f>
        <v>15.900000000000006</v>
      </c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27">
        <f>HYPERLINK("[N Only Old retention.xlsx]'Lake P Results'!Q104", 5.96)</f>
        <v>5.96</v>
      </c>
      <c r="BL108" s="27">
        <f>HYPERLINK("[N Only New retention.xlsx]'Lake P Results'!Q104", 4.59)</f>
        <v>4.59</v>
      </c>
      <c r="BM108" s="27">
        <f>HYPERLINK("[N Only with New retention and Differentiation.xlsx]'Lake P Results'!Q104", 4.59)</f>
        <v>4.59</v>
      </c>
      <c r="BN108" s="47">
        <f>BL108-BK108</f>
        <v>-1.37</v>
      </c>
      <c r="BO108" s="47">
        <f>BM108-BK108</f>
        <v>-1.37</v>
      </c>
    </row>
    <row r="109" spans="1:67" x14ac:dyDescent="0.55000000000000004">
      <c r="A109" s="31">
        <v>319</v>
      </c>
      <c r="B109" s="5" t="s">
        <v>418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29">
        <f>HYPERLINK("[N Only Old retention.xlsx]'Lake P Results'!M105", 188.718)</f>
        <v>188.71799999999999</v>
      </c>
      <c r="AW109" s="29">
        <f>HYPERLINK("[N Only New retention.xlsx]'Lake P Results'!M105", 4.09)</f>
        <v>4.09</v>
      </c>
      <c r="AX109" s="29">
        <f>HYPERLINK("[N Only with New retention and Differentiation.xlsx]'Lake P Results'!M105", 4.09)</f>
        <v>4.09</v>
      </c>
      <c r="AY109" s="47">
        <f>AW109-AV109</f>
        <v>-184.62799999999999</v>
      </c>
      <c r="AZ109" s="47">
        <f>AX109-AV109</f>
        <v>-184.62799999999999</v>
      </c>
      <c r="BA109" s="29">
        <f>HYPERLINK("[N Only Old retention.xlsx]'Lake P Results'!O105", 4.74)</f>
        <v>4.74</v>
      </c>
      <c r="BB109" s="13"/>
      <c r="BC109" s="13"/>
      <c r="BD109" s="47">
        <f>BB109-BA109</f>
        <v>-4.74</v>
      </c>
      <c r="BE109" s="47">
        <f>BC109-BA109</f>
        <v>-4.74</v>
      </c>
      <c r="BF109" s="13"/>
      <c r="BG109" s="13"/>
      <c r="BH109" s="13"/>
      <c r="BI109" s="13"/>
      <c r="BJ109" s="13"/>
      <c r="BK109" s="13"/>
      <c r="BL109" s="29">
        <f>HYPERLINK("[N Only New retention.xlsx]'Lake P Results'!Q105", 1.23)</f>
        <v>1.23</v>
      </c>
      <c r="BM109" s="29">
        <f>HYPERLINK("[N Only with New retention and Differentiation.xlsx]'Lake P Results'!Q105", 1.23)</f>
        <v>1.23</v>
      </c>
      <c r="BN109" s="46">
        <f>BL109-BK109</f>
        <v>1.23</v>
      </c>
      <c r="BO109" s="46">
        <f>BM109-BK109</f>
        <v>1.23</v>
      </c>
    </row>
    <row r="110" spans="1:67" x14ac:dyDescent="0.55000000000000004">
      <c r="A110" s="30">
        <v>320</v>
      </c>
      <c r="B110" s="6" t="s">
        <v>419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27">
        <f>HYPERLINK("[N Only Old retention.xlsx]'Lake P Results'!O106", 37.68)</f>
        <v>37.68</v>
      </c>
      <c r="BB110" s="27">
        <f>HYPERLINK("[N Only New retention.xlsx]'Lake P Results'!O106", 24.55)</f>
        <v>24.55</v>
      </c>
      <c r="BC110" s="27">
        <f>HYPERLINK("[N Only with New retention and Differentiation.xlsx]'Lake P Results'!O106", 24.55)</f>
        <v>24.55</v>
      </c>
      <c r="BD110" s="47">
        <f>BB110-BA110</f>
        <v>-13.129999999999999</v>
      </c>
      <c r="BE110" s="47">
        <f>BC110-BA110</f>
        <v>-13.129999999999999</v>
      </c>
      <c r="BF110" s="18"/>
      <c r="BG110" s="18"/>
      <c r="BH110" s="18"/>
      <c r="BI110" s="18"/>
      <c r="BJ110" s="18"/>
      <c r="BK110" s="27">
        <f>HYPERLINK("[N Only Old retention.xlsx]'Lake P Results'!Q106", 9.96000000000001)</f>
        <v>9.9600000000000097</v>
      </c>
      <c r="BL110" s="27">
        <f>HYPERLINK("[N Only New retention.xlsx]'Lake P Results'!Q106", 9.77000000000001)</f>
        <v>9.7700000000000102</v>
      </c>
      <c r="BM110" s="27">
        <f>HYPERLINK("[N Only with New retention and Differentiation.xlsx]'Lake P Results'!Q106", 9.77000000000001)</f>
        <v>9.7700000000000102</v>
      </c>
      <c r="BN110" s="47">
        <f>BL110-BK110</f>
        <v>-0.1899999999999995</v>
      </c>
      <c r="BO110" s="47">
        <f>BM110-BK110</f>
        <v>-0.1899999999999995</v>
      </c>
    </row>
    <row r="111" spans="1:67" x14ac:dyDescent="0.55000000000000004">
      <c r="A111" s="31">
        <v>322</v>
      </c>
      <c r="B111" s="5" t="s">
        <v>420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</row>
    <row r="112" spans="1:67" x14ac:dyDescent="0.55000000000000004">
      <c r="A112" s="30">
        <v>323</v>
      </c>
      <c r="B112" s="6" t="s">
        <v>421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27">
        <f>HYPERLINK("[N Only Old retention.xlsx]'Lake P Results'!Z108", 0.39)</f>
        <v>0.39</v>
      </c>
      <c r="AC112" s="18"/>
      <c r="AD112" s="18"/>
      <c r="AE112" s="47">
        <f>AC112-AB112</f>
        <v>-0.39</v>
      </c>
      <c r="AF112" s="47">
        <f>AD112-AB112</f>
        <v>-0.39</v>
      </c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27">
        <f>HYPERLINK("[N Only Old retention.xlsx]'Lake P Results'!M108", 72.522)</f>
        <v>72.522000000000006</v>
      </c>
      <c r="AW112" s="27">
        <f>HYPERLINK("[N Only New retention.xlsx]'Lake P Results'!M108", 48.392)</f>
        <v>48.392000000000003</v>
      </c>
      <c r="AX112" s="27">
        <f>HYPERLINK("[N Only with New retention and Differentiation.xlsx]'Lake P Results'!M108", 48.392)</f>
        <v>48.392000000000003</v>
      </c>
      <c r="AY112" s="47">
        <f>AW112-AV112</f>
        <v>-24.130000000000003</v>
      </c>
      <c r="AZ112" s="47">
        <f>AX112-AV112</f>
        <v>-24.130000000000003</v>
      </c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27">
        <f>HYPERLINK("[N Only Old retention.xlsx]'Lake P Results'!Q108", 25.654)</f>
        <v>25.654</v>
      </c>
      <c r="BL112" s="27">
        <f>HYPERLINK("[N Only New retention.xlsx]'Lake P Results'!Q108", 11.322)</f>
        <v>11.321999999999999</v>
      </c>
      <c r="BM112" s="27">
        <f>HYPERLINK("[N Only with New retention and Differentiation.xlsx]'Lake P Results'!Q108", 11.322)</f>
        <v>11.321999999999999</v>
      </c>
      <c r="BN112" s="47">
        <f>BL112-BK112</f>
        <v>-14.332000000000001</v>
      </c>
      <c r="BO112" s="47">
        <f>BM112-BK112</f>
        <v>-14.332000000000001</v>
      </c>
    </row>
    <row r="113" spans="1:67" x14ac:dyDescent="0.55000000000000004">
      <c r="A113" s="31">
        <v>327</v>
      </c>
      <c r="B113" s="5" t="s">
        <v>422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29">
        <f>HYPERLINK("[N Only Old retention.xlsx]'Lake P Results'!M109", 3664.898)</f>
        <v>3664.8980000000001</v>
      </c>
      <c r="AW113" s="29">
        <f>HYPERLINK("[N Only New retention.xlsx]'Lake P Results'!M109", 3702.554)</f>
        <v>3702.5540000000001</v>
      </c>
      <c r="AX113" s="29">
        <f>HYPERLINK("[N Only with New retention and Differentiation.xlsx]'Lake P Results'!M109", 3702.554)</f>
        <v>3702.5540000000001</v>
      </c>
      <c r="AY113" s="46">
        <f>AW113-AV113</f>
        <v>37.655999999999949</v>
      </c>
      <c r="AZ113" s="46">
        <f>AX113-AV113</f>
        <v>37.655999999999949</v>
      </c>
      <c r="BA113" s="29">
        <f>HYPERLINK("[N Only Old retention.xlsx]'Lake P Results'!O109", 31.488)</f>
        <v>31.488</v>
      </c>
      <c r="BB113" s="29">
        <f>HYPERLINK("[N Only New retention.xlsx]'Lake P Results'!O109", 33.388)</f>
        <v>33.387999999999998</v>
      </c>
      <c r="BC113" s="29">
        <f>HYPERLINK("[N Only with New retention and Differentiation.xlsx]'Lake P Results'!O109", 31.488)</f>
        <v>31.488</v>
      </c>
      <c r="BD113" s="46">
        <f>BB113-BA113</f>
        <v>1.8999999999999986</v>
      </c>
      <c r="BE113" s="13"/>
      <c r="BF113" s="29">
        <f>HYPERLINK("[N Only Old retention.xlsx]'Lake P Results'!R109", 72.584)</f>
        <v>72.584000000000003</v>
      </c>
      <c r="BG113" s="29">
        <f>HYPERLINK("[N Only New retention.xlsx]'Lake P Results'!R109", 26.794)</f>
        <v>26.794</v>
      </c>
      <c r="BH113" s="29">
        <f>HYPERLINK("[N Only with New retention and Differentiation.xlsx]'Lake P Results'!R109", 26.794)</f>
        <v>26.794</v>
      </c>
      <c r="BI113" s="47">
        <f>BG113-BF113</f>
        <v>-45.790000000000006</v>
      </c>
      <c r="BJ113" s="47">
        <f>BH113-BF113</f>
        <v>-45.790000000000006</v>
      </c>
      <c r="BK113" s="29">
        <f>HYPERLINK("[N Only Old retention.xlsx]'Lake P Results'!Q109", 197.268313333333)</f>
        <v>197.268313333333</v>
      </c>
      <c r="BL113" s="29">
        <f>HYPERLINK("[N Only New retention.xlsx]'Lake P Results'!Q109", 118.770313333333)</f>
        <v>118.77031333333299</v>
      </c>
      <c r="BM113" s="29">
        <f>HYPERLINK("[N Only with New retention and Differentiation.xlsx]'Lake P Results'!Q109", 119.820313333333)</f>
        <v>119.820313333333</v>
      </c>
      <c r="BN113" s="47">
        <f>BL113-BK113</f>
        <v>-78.498000000000005</v>
      </c>
      <c r="BO113" s="47">
        <f>BM113-BK113</f>
        <v>-77.447999999999993</v>
      </c>
    </row>
    <row r="114" spans="1:67" x14ac:dyDescent="0.55000000000000004">
      <c r="A114" s="30">
        <v>329</v>
      </c>
      <c r="B114" s="6" t="s">
        <v>423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</row>
    <row r="115" spans="1:67" x14ac:dyDescent="0.55000000000000004">
      <c r="A115" s="31">
        <v>330</v>
      </c>
      <c r="B115" s="5" t="s">
        <v>424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29">
        <f>HYPERLINK("[N Only Old retention.xlsx]'Lake P Results'!M111", 271.663999999966)</f>
        <v>271.66399999996599</v>
      </c>
      <c r="AW115" s="29">
        <f>HYPERLINK("[N Only New retention.xlsx]'Lake P Results'!M111", 83.61)</f>
        <v>83.61</v>
      </c>
      <c r="AX115" s="29">
        <f>HYPERLINK("[N Only with New retention and Differentiation.xlsx]'Lake P Results'!M111", 83.61)</f>
        <v>83.61</v>
      </c>
      <c r="AY115" s="47">
        <f>AW115-AV115</f>
        <v>-188.05399999996598</v>
      </c>
      <c r="AZ115" s="47">
        <f>AX115-AV115</f>
        <v>-188.05399999996598</v>
      </c>
      <c r="BA115" s="29">
        <f>HYPERLINK("[N Only Old retention.xlsx]'Lake P Results'!O111", 23.98)</f>
        <v>23.98</v>
      </c>
      <c r="BB115" s="29">
        <f>HYPERLINK("[N Only New retention.xlsx]'Lake P Results'!O111", 10.05)</f>
        <v>10.050000000000001</v>
      </c>
      <c r="BC115" s="29">
        <f>HYPERLINK("[N Only with New retention and Differentiation.xlsx]'Lake P Results'!O111", 10.05)</f>
        <v>10.050000000000001</v>
      </c>
      <c r="BD115" s="47">
        <f>BB115-BA115</f>
        <v>-13.93</v>
      </c>
      <c r="BE115" s="47">
        <f>BC115-BA115</f>
        <v>-13.93</v>
      </c>
      <c r="BF115" s="29">
        <f>HYPERLINK("[N Only Old retention.xlsx]'Lake P Results'!R111", 0.132)</f>
        <v>0.13200000000000001</v>
      </c>
      <c r="BG115" s="29">
        <f>HYPERLINK("[N Only New retention.xlsx]'Lake P Results'!R111", 0.802000000000001)</f>
        <v>0.80200000000000105</v>
      </c>
      <c r="BH115" s="29">
        <f>HYPERLINK("[N Only with New retention and Differentiation.xlsx]'Lake P Results'!R111", 0.802000000000001)</f>
        <v>0.80200000000000105</v>
      </c>
      <c r="BI115" s="46">
        <f>BG115-BF115</f>
        <v>0.67000000000000104</v>
      </c>
      <c r="BJ115" s="46">
        <f>BH115-BF115</f>
        <v>0.67000000000000104</v>
      </c>
      <c r="BK115" s="29">
        <f>HYPERLINK("[N Only Old retention.xlsx]'Lake P Results'!Q111", 3.17999999997935)</f>
        <v>3.17999999997935</v>
      </c>
      <c r="BL115" s="29">
        <f>HYPERLINK("[N Only New retention.xlsx]'Lake P Results'!Q111", 5.55)</f>
        <v>5.55</v>
      </c>
      <c r="BM115" s="29">
        <f>HYPERLINK("[N Only with New retention and Differentiation.xlsx]'Lake P Results'!Q111", 5.55)</f>
        <v>5.55</v>
      </c>
      <c r="BN115" s="46">
        <f>BL115-BK115</f>
        <v>2.3700000000206498</v>
      </c>
      <c r="BO115" s="46">
        <f>BM115-BK115</f>
        <v>2.3700000000206498</v>
      </c>
    </row>
    <row r="116" spans="1:67" x14ac:dyDescent="0.55000000000000004">
      <c r="A116" s="30">
        <v>331</v>
      </c>
      <c r="B116" s="6" t="s">
        <v>425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</row>
    <row r="117" spans="1:67" x14ac:dyDescent="0.55000000000000004">
      <c r="A117" s="31">
        <v>337</v>
      </c>
      <c r="B117" s="5" t="s">
        <v>426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29">
        <f>HYPERLINK("[N Only Old retention.xlsx]'Lake P Results'!M113", 20.75)</f>
        <v>20.75</v>
      </c>
      <c r="AW117" s="29">
        <f>HYPERLINK("[N Only New retention.xlsx]'Lake P Results'!M113", 20.75)</f>
        <v>20.75</v>
      </c>
      <c r="AX117" s="29">
        <f>HYPERLINK("[N Only with New retention and Differentiation.xlsx]'Lake P Results'!M113", 20.75)</f>
        <v>20.75</v>
      </c>
      <c r="AY117" s="13"/>
      <c r="AZ117" s="13"/>
      <c r="BA117" s="13"/>
      <c r="BB117" s="13"/>
      <c r="BC117" s="13"/>
      <c r="BD117" s="13"/>
      <c r="BE117" s="13"/>
      <c r="BF117" s="29">
        <f>HYPERLINK("[N Only Old retention.xlsx]'Lake P Results'!R113", 0.08)</f>
        <v>0.08</v>
      </c>
      <c r="BG117" s="13"/>
      <c r="BH117" s="13"/>
      <c r="BI117" s="47">
        <f>BG117-BF117</f>
        <v>-0.08</v>
      </c>
      <c r="BJ117" s="47">
        <f>BH117-BF117</f>
        <v>-0.08</v>
      </c>
      <c r="BK117" s="29">
        <f>HYPERLINK("[N Only Old retention.xlsx]'Lake P Results'!Q113", 0.56)</f>
        <v>0.56000000000000005</v>
      </c>
      <c r="BL117" s="29">
        <f>HYPERLINK("[N Only New retention.xlsx]'Lake P Results'!Q113", 0.56)</f>
        <v>0.56000000000000005</v>
      </c>
      <c r="BM117" s="29">
        <f>HYPERLINK("[N Only with New retention and Differentiation.xlsx]'Lake P Results'!Q113", 0.56)</f>
        <v>0.56000000000000005</v>
      </c>
      <c r="BN117" s="13"/>
      <c r="BO117" s="13"/>
    </row>
    <row r="118" spans="1:67" x14ac:dyDescent="0.55000000000000004">
      <c r="A118" s="30">
        <v>338</v>
      </c>
      <c r="B118" s="6" t="s">
        <v>427</v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27">
        <f>HYPERLINK("[N Only Old retention.xlsx]'Lake P Results'!M114", 87.41)</f>
        <v>87.41</v>
      </c>
      <c r="AW118" s="18"/>
      <c r="AX118" s="18"/>
      <c r="AY118" s="47">
        <f>AW118-AV118</f>
        <v>-87.41</v>
      </c>
      <c r="AZ118" s="47">
        <f>AX118-AV118</f>
        <v>-87.41</v>
      </c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27">
        <f>HYPERLINK("[N Only Old retention.xlsx]'Lake P Results'!Q114", 19.052)</f>
        <v>19.052</v>
      </c>
      <c r="BL118" s="27">
        <f>HYPERLINK("[N Only New retention.xlsx]'Lake P Results'!Q114", 23.272)</f>
        <v>23.271999999999998</v>
      </c>
      <c r="BM118" s="27">
        <f>HYPERLINK("[N Only with New retention and Differentiation.xlsx]'Lake P Results'!Q114", 23.272)</f>
        <v>23.271999999999998</v>
      </c>
      <c r="BN118" s="46">
        <f>BL118-BK118</f>
        <v>4.2199999999999989</v>
      </c>
      <c r="BO118" s="46">
        <f>BM118-BK118</f>
        <v>4.2199999999999989</v>
      </c>
    </row>
    <row r="119" spans="1:67" x14ac:dyDescent="0.55000000000000004">
      <c r="A119" s="31">
        <v>339</v>
      </c>
      <c r="B119" s="5" t="s">
        <v>428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29">
        <f>HYPERLINK("[N Only Old retention.xlsx]'Lake P Results'!M115", 687.765999999936)</f>
        <v>687.76599999993596</v>
      </c>
      <c r="AW119" s="29">
        <f>HYPERLINK("[N Only New retention.xlsx]'Lake P Results'!M115", 1193.59)</f>
        <v>1193.5899999999999</v>
      </c>
      <c r="AX119" s="29">
        <f>HYPERLINK("[N Only with New retention and Differentiation.xlsx]'Lake P Results'!M115", 1195.77)</f>
        <v>1195.77</v>
      </c>
      <c r="AY119" s="46">
        <f>AW119-AV119</f>
        <v>505.82400000006396</v>
      </c>
      <c r="AZ119" s="46">
        <f>AX119-AV119</f>
        <v>508.00400000006402</v>
      </c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29">
        <f>HYPERLINK("[N Only Old retention.xlsx]'Lake P Results'!Q115", 12.9419999999678)</f>
        <v>12.9419999999678</v>
      </c>
      <c r="BL119" s="29">
        <f>HYPERLINK("[N Only New retention.xlsx]'Lake P Results'!Q115", 9.29199999999999)</f>
        <v>9.2919999999999892</v>
      </c>
      <c r="BM119" s="29">
        <f>HYPERLINK("[N Only with New retention and Differentiation.xlsx]'Lake P Results'!Q115", 9.29199999999999)</f>
        <v>9.2919999999999892</v>
      </c>
      <c r="BN119" s="47">
        <f>BL119-BK119</f>
        <v>-3.649999999967811</v>
      </c>
      <c r="BO119" s="47">
        <f>BM119-BK119</f>
        <v>-3.649999999967811</v>
      </c>
    </row>
    <row r="120" spans="1:67" x14ac:dyDescent="0.55000000000000004">
      <c r="A120" s="30">
        <v>340</v>
      </c>
      <c r="B120" s="6" t="s">
        <v>429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27">
        <f>HYPERLINK("[N Only Old retention.xlsx]'Lake P Results'!Q116", 0.21)</f>
        <v>0.21</v>
      </c>
      <c r="BL120" s="27">
        <f>HYPERLINK("[N Only New retention.xlsx]'Lake P Results'!Q116", 0.21)</f>
        <v>0.21</v>
      </c>
      <c r="BM120" s="27">
        <f>HYPERLINK("[N Only with New retention and Differentiation.xlsx]'Lake P Results'!Q116", 0.21)</f>
        <v>0.21</v>
      </c>
      <c r="BN120" s="18"/>
      <c r="BO120" s="18"/>
    </row>
    <row r="121" spans="1:67" x14ac:dyDescent="0.55000000000000004">
      <c r="A121" s="31">
        <v>341</v>
      </c>
      <c r="B121" s="5" t="s">
        <v>430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29">
        <f>HYPERLINK("[N Only Old retention.xlsx]'Lake P Results'!Q117", 0.6)</f>
        <v>0.6</v>
      </c>
      <c r="BL121" s="29">
        <f>HYPERLINK("[N Only New retention.xlsx]'Lake P Results'!Q117", 0.6)</f>
        <v>0.6</v>
      </c>
      <c r="BM121" s="29">
        <f>HYPERLINK("[N Only with New retention and Differentiation.xlsx]'Lake P Results'!Q117", 0.6)</f>
        <v>0.6</v>
      </c>
      <c r="BN121" s="13"/>
      <c r="BO121" s="13"/>
    </row>
    <row r="122" spans="1:67" x14ac:dyDescent="0.55000000000000004">
      <c r="A122" s="30">
        <v>343</v>
      </c>
      <c r="B122" s="6" t="s">
        <v>431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27">
        <f>HYPERLINK("[N Only Old retention.xlsx]'Lake P Results'!M118", 986.492)</f>
        <v>986.49199999999996</v>
      </c>
      <c r="AW122" s="27">
        <f>HYPERLINK("[N Only New retention.xlsx]'Lake P Results'!M118", 727.232)</f>
        <v>727.23199999999997</v>
      </c>
      <c r="AX122" s="27">
        <f>HYPERLINK("[N Only with New retention and Differentiation.xlsx]'Lake P Results'!M118", 729.022)</f>
        <v>729.02200000000005</v>
      </c>
      <c r="AY122" s="47">
        <f>AW122-AV122</f>
        <v>-259.26</v>
      </c>
      <c r="AZ122" s="47">
        <f>AX122-AV122</f>
        <v>-257.46999999999991</v>
      </c>
      <c r="BA122" s="27">
        <f>HYPERLINK("[N Only Old retention.xlsx]'Lake P Results'!O118", 19.18)</f>
        <v>19.18</v>
      </c>
      <c r="BB122" s="27">
        <f>HYPERLINK("[N Only New retention.xlsx]'Lake P Results'!O118", 10.07)</f>
        <v>10.07</v>
      </c>
      <c r="BC122" s="27">
        <f>HYPERLINK("[N Only with New retention and Differentiation.xlsx]'Lake P Results'!O118", 10.07)</f>
        <v>10.07</v>
      </c>
      <c r="BD122" s="47">
        <f>BB122-BA122</f>
        <v>-9.11</v>
      </c>
      <c r="BE122" s="47">
        <f>BC122-BA122</f>
        <v>-9.11</v>
      </c>
      <c r="BF122" s="18"/>
      <c r="BG122" s="18"/>
      <c r="BH122" s="18"/>
      <c r="BI122" s="18"/>
      <c r="BJ122" s="18"/>
      <c r="BK122" s="27">
        <f>HYPERLINK("[N Only Old retention.xlsx]'Lake P Results'!Q118", 35.954)</f>
        <v>35.954000000000001</v>
      </c>
      <c r="BL122" s="27">
        <f>HYPERLINK("[N Only New retention.xlsx]'Lake P Results'!Q118", 48.636)</f>
        <v>48.636000000000003</v>
      </c>
      <c r="BM122" s="27">
        <f>HYPERLINK("[N Only with New retention and Differentiation.xlsx]'Lake P Results'!Q118", 48.636)</f>
        <v>48.636000000000003</v>
      </c>
      <c r="BN122" s="46">
        <f>BL122-BK122</f>
        <v>12.682000000000002</v>
      </c>
      <c r="BO122" s="46">
        <f>BM122-BK122</f>
        <v>12.682000000000002</v>
      </c>
    </row>
    <row r="123" spans="1:67" x14ac:dyDescent="0.55000000000000004">
      <c r="A123" s="31">
        <v>347</v>
      </c>
      <c r="B123" s="5" t="s">
        <v>432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29">
        <f>HYPERLINK("[N Only Old retention.xlsx]'Lake P Results'!M119", 4.58)</f>
        <v>4.58</v>
      </c>
      <c r="AW123" s="29">
        <f>HYPERLINK("[N Only New retention.xlsx]'Lake P Results'!M119", 4.58)</f>
        <v>4.58</v>
      </c>
      <c r="AX123" s="29">
        <f>HYPERLINK("[N Only with New retention and Differentiation.xlsx]'Lake P Results'!M119", 4.58)</f>
        <v>4.58</v>
      </c>
      <c r="AY123" s="13"/>
      <c r="AZ123" s="13"/>
      <c r="BA123" s="29">
        <f>HYPERLINK("[N Only Old retention.xlsx]'Lake P Results'!O119", 31.1)</f>
        <v>31.1</v>
      </c>
      <c r="BB123" s="29">
        <f>HYPERLINK("[N Only New retention.xlsx]'Lake P Results'!O119", 31.1)</f>
        <v>31.1</v>
      </c>
      <c r="BC123" s="29">
        <f>HYPERLINK("[N Only with New retention and Differentiation.xlsx]'Lake P Results'!O119", 31.1)</f>
        <v>31.1</v>
      </c>
      <c r="BD123" s="13"/>
      <c r="BE123" s="13"/>
      <c r="BF123" s="13"/>
      <c r="BG123" s="29">
        <f>HYPERLINK("[N Only New retention.xlsx]'Lake P Results'!R119", 40.21)</f>
        <v>40.21</v>
      </c>
      <c r="BH123" s="29">
        <f>HYPERLINK("[N Only with New retention and Differentiation.xlsx]'Lake P Results'!R119", 40.21)</f>
        <v>40.21</v>
      </c>
      <c r="BI123" s="46">
        <f>BG123-BF123</f>
        <v>40.21</v>
      </c>
      <c r="BJ123" s="46">
        <f>BH123-BF123</f>
        <v>40.21</v>
      </c>
      <c r="BK123" s="29">
        <f>HYPERLINK("[N Only Old retention.xlsx]'Lake P Results'!Q119", 0.67)</f>
        <v>0.67</v>
      </c>
      <c r="BL123" s="29">
        <f>HYPERLINK("[N Only New retention.xlsx]'Lake P Results'!Q119", 0.67)</f>
        <v>0.67</v>
      </c>
      <c r="BM123" s="29">
        <f>HYPERLINK("[N Only with New retention and Differentiation.xlsx]'Lake P Results'!Q119", 0.67)</f>
        <v>0.67</v>
      </c>
      <c r="BN123" s="13"/>
      <c r="BO123" s="13"/>
    </row>
    <row r="124" spans="1:67" x14ac:dyDescent="0.55000000000000004">
      <c r="A124" s="30">
        <v>348</v>
      </c>
      <c r="B124" s="6" t="s">
        <v>433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</row>
    <row r="125" spans="1:67" x14ac:dyDescent="0.55000000000000004">
      <c r="A125" s="31">
        <v>351</v>
      </c>
      <c r="B125" s="5" t="s">
        <v>434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29">
        <f>HYPERLINK("[N Only Old retention.xlsx]'Lake P Results'!M121", 142.148)</f>
        <v>142.148</v>
      </c>
      <c r="AW125" s="29">
        <f>HYPERLINK("[N Only New retention.xlsx]'Lake P Results'!M121", 30.428)</f>
        <v>30.428000000000001</v>
      </c>
      <c r="AX125" s="29">
        <f>HYPERLINK("[N Only with New retention and Differentiation.xlsx]'Lake P Results'!M121", 30.428)</f>
        <v>30.428000000000001</v>
      </c>
      <c r="AY125" s="47">
        <f>AW125-AV125</f>
        <v>-111.72</v>
      </c>
      <c r="AZ125" s="47">
        <f>AX125-AV125</f>
        <v>-111.72</v>
      </c>
      <c r="BA125" s="29">
        <f>HYPERLINK("[N Only Old retention.xlsx]'Lake P Results'!O121", 20.65)</f>
        <v>20.65</v>
      </c>
      <c r="BB125" s="13"/>
      <c r="BC125" s="13"/>
      <c r="BD125" s="47">
        <f>BB125-BA125</f>
        <v>-20.65</v>
      </c>
      <c r="BE125" s="47">
        <f>BC125-BA125</f>
        <v>-20.65</v>
      </c>
      <c r="BF125" s="29">
        <f>HYPERLINK("[N Only Old retention.xlsx]'Lake P Results'!R121", 2.362)</f>
        <v>2.3620000000000001</v>
      </c>
      <c r="BG125" s="29">
        <f>HYPERLINK("[N Only New retention.xlsx]'Lake P Results'!R121", 2.362)</f>
        <v>2.3620000000000001</v>
      </c>
      <c r="BH125" s="29">
        <f>HYPERLINK("[N Only with New retention and Differentiation.xlsx]'Lake P Results'!R121", 2.362)</f>
        <v>2.3620000000000001</v>
      </c>
      <c r="BI125" s="13"/>
      <c r="BJ125" s="13"/>
      <c r="BK125" s="29">
        <f>HYPERLINK("[N Only Old retention.xlsx]'Lake P Results'!Q121", 0.319999999985398)</f>
        <v>0.31999999998539802</v>
      </c>
      <c r="BL125" s="29">
        <f>HYPERLINK("[N Only New retention.xlsx]'Lake P Results'!Q121", 0.54)</f>
        <v>0.54</v>
      </c>
      <c r="BM125" s="29">
        <f>HYPERLINK("[N Only with New retention and Differentiation.xlsx]'Lake P Results'!Q121", 0.54)</f>
        <v>0.54</v>
      </c>
      <c r="BN125" s="46">
        <f>BL125-BK125</f>
        <v>0.22000000001460202</v>
      </c>
      <c r="BO125" s="46">
        <f>BM125-BK125</f>
        <v>0.22000000001460202</v>
      </c>
    </row>
    <row r="126" spans="1:67" x14ac:dyDescent="0.55000000000000004">
      <c r="A126" s="30">
        <v>354</v>
      </c>
      <c r="B126" s="6" t="s">
        <v>435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27">
        <f>HYPERLINK("[N Only Old retention.xlsx]'Lake P Results'!M122", 23.43)</f>
        <v>23.43</v>
      </c>
      <c r="AW126" s="27">
        <f>HYPERLINK("[N Only New retention.xlsx]'Lake P Results'!M122", 31.08)</f>
        <v>31.08</v>
      </c>
      <c r="AX126" s="27">
        <f>HYPERLINK("[N Only with New retention and Differentiation.xlsx]'Lake P Results'!M122", 31.08)</f>
        <v>31.08</v>
      </c>
      <c r="AY126" s="46">
        <f>AW126-AV126</f>
        <v>7.6499999999999986</v>
      </c>
      <c r="AZ126" s="46">
        <f>AX126-AV126</f>
        <v>7.6499999999999986</v>
      </c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27">
        <f>HYPERLINK("[N Only Old retention.xlsx]'Lake P Results'!Q122", 10.498)</f>
        <v>10.497999999999999</v>
      </c>
      <c r="BL126" s="27">
        <f>HYPERLINK("[N Only New retention.xlsx]'Lake P Results'!Q122", 12.448)</f>
        <v>12.448</v>
      </c>
      <c r="BM126" s="27">
        <f>HYPERLINK("[N Only with New retention and Differentiation.xlsx]'Lake P Results'!Q122", 12.448)</f>
        <v>12.448</v>
      </c>
      <c r="BN126" s="46">
        <f>BL126-BK126</f>
        <v>1.9500000000000011</v>
      </c>
      <c r="BO126" s="46">
        <f>BM126-BK126</f>
        <v>1.9500000000000011</v>
      </c>
    </row>
    <row r="127" spans="1:67" x14ac:dyDescent="0.55000000000000004">
      <c r="A127" s="31">
        <v>357</v>
      </c>
      <c r="B127" s="5" t="s">
        <v>436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29">
        <f>HYPERLINK("[N Only Old retention.xlsx]'Lake P Results'!O123", 29.57)</f>
        <v>29.57</v>
      </c>
      <c r="BB127" s="29">
        <f>HYPERLINK("[N Only New retention.xlsx]'Lake P Results'!O123", 17.61)</f>
        <v>17.61</v>
      </c>
      <c r="BC127" s="29">
        <f>HYPERLINK("[N Only with New retention and Differentiation.xlsx]'Lake P Results'!O123", 17.61)</f>
        <v>17.61</v>
      </c>
      <c r="BD127" s="47">
        <f>BB127-BA127</f>
        <v>-11.96</v>
      </c>
      <c r="BE127" s="47">
        <f>BC127-BA127</f>
        <v>-11.96</v>
      </c>
      <c r="BF127" s="29">
        <f>HYPERLINK("[N Only Old retention.xlsx]'Lake P Results'!R123", 4.698)</f>
        <v>4.6980000000000004</v>
      </c>
      <c r="BG127" s="29">
        <f>HYPERLINK("[N Only New retention.xlsx]'Lake P Results'!R123", 4.698)</f>
        <v>4.6980000000000004</v>
      </c>
      <c r="BH127" s="29">
        <f>HYPERLINK("[N Only with New retention and Differentiation.xlsx]'Lake P Results'!R123", 4.698)</f>
        <v>4.6980000000000004</v>
      </c>
      <c r="BI127" s="13"/>
      <c r="BJ127" s="13"/>
      <c r="BK127" s="29">
        <f>HYPERLINK("[N Only Old retention.xlsx]'Lake P Results'!Q123", 1.58)</f>
        <v>1.58</v>
      </c>
      <c r="BL127" s="29">
        <f>HYPERLINK("[N Only New retention.xlsx]'Lake P Results'!Q123", 1.58)</f>
        <v>1.58</v>
      </c>
      <c r="BM127" s="29">
        <f>HYPERLINK("[N Only with New retention and Differentiation.xlsx]'Lake P Results'!Q123", 1.58)</f>
        <v>1.58</v>
      </c>
      <c r="BN127" s="13"/>
      <c r="BO127" s="13"/>
    </row>
    <row r="128" spans="1:67" x14ac:dyDescent="0.55000000000000004">
      <c r="A128" s="30">
        <v>366</v>
      </c>
      <c r="B128" s="6" t="s">
        <v>437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27">
        <f>HYPERLINK("[N Only Old retention.xlsx]'Lake P Results'!M124", 4.55)</f>
        <v>4.55</v>
      </c>
      <c r="AW128" s="27">
        <f>HYPERLINK("[N Only New retention.xlsx]'Lake P Results'!M124", 4.55)</f>
        <v>4.55</v>
      </c>
      <c r="AX128" s="27">
        <f>HYPERLINK("[N Only with New retention and Differentiation.xlsx]'Lake P Results'!M124", 4.55)</f>
        <v>4.55</v>
      </c>
      <c r="AY128" s="18"/>
      <c r="AZ128" s="18"/>
      <c r="BA128" s="27">
        <f>HYPERLINK("[N Only Old retention.xlsx]'Lake P Results'!O124", 4.93)</f>
        <v>4.93</v>
      </c>
      <c r="BB128" s="27">
        <f>HYPERLINK("[N Only New retention.xlsx]'Lake P Results'!O124", 4.93)</f>
        <v>4.93</v>
      </c>
      <c r="BC128" s="27">
        <f>HYPERLINK("[N Only with New retention and Differentiation.xlsx]'Lake P Results'!O124", 4.93)</f>
        <v>4.93</v>
      </c>
      <c r="BD128" s="18"/>
      <c r="BE128" s="18"/>
      <c r="BF128" s="18"/>
      <c r="BG128" s="18"/>
      <c r="BH128" s="18"/>
      <c r="BI128" s="18"/>
      <c r="BJ128" s="18"/>
      <c r="BK128" s="27">
        <f>HYPERLINK("[N Only Old retention.xlsx]'Lake P Results'!Q124", 0.92)</f>
        <v>0.92</v>
      </c>
      <c r="BL128" s="27">
        <f>HYPERLINK("[N Only New retention.xlsx]'Lake P Results'!Q124", 0.92)</f>
        <v>0.92</v>
      </c>
      <c r="BM128" s="27">
        <f>HYPERLINK("[N Only with New retention and Differentiation.xlsx]'Lake P Results'!Q124", 0.92)</f>
        <v>0.92</v>
      </c>
      <c r="BN128" s="18"/>
      <c r="BO128" s="18"/>
    </row>
    <row r="129" spans="1:67" x14ac:dyDescent="0.55000000000000004">
      <c r="A129" s="31">
        <v>370</v>
      </c>
      <c r="B129" s="5" t="s">
        <v>438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29">
        <f>HYPERLINK("[N Only Old retention.xlsx]'Lake P Results'!M125", 46.018)</f>
        <v>46.018000000000001</v>
      </c>
      <c r="AW129" s="29">
        <f>HYPERLINK("[N Only New retention.xlsx]'Lake P Results'!M125", 81.136)</f>
        <v>81.135999999999996</v>
      </c>
      <c r="AX129" s="29">
        <f>HYPERLINK("[N Only with New retention and Differentiation.xlsx]'Lake P Results'!M125", 81.136)</f>
        <v>81.135999999999996</v>
      </c>
      <c r="AY129" s="46">
        <f>AW129-AV129</f>
        <v>35.117999999999995</v>
      </c>
      <c r="AZ129" s="46">
        <f>AX129-AV129</f>
        <v>35.117999999999995</v>
      </c>
      <c r="BA129" s="29">
        <f>HYPERLINK("[N Only Old retention.xlsx]'Lake P Results'!O125", 0.35)</f>
        <v>0.35</v>
      </c>
      <c r="BB129" s="29">
        <f>HYPERLINK("[N Only New retention.xlsx]'Lake P Results'!O125", 0.35)</f>
        <v>0.35</v>
      </c>
      <c r="BC129" s="29">
        <f>HYPERLINK("[N Only with New retention and Differentiation.xlsx]'Lake P Results'!O125", 0.35)</f>
        <v>0.35</v>
      </c>
      <c r="BD129" s="13"/>
      <c r="BE129" s="13"/>
      <c r="BF129" s="13"/>
      <c r="BG129" s="29">
        <f>HYPERLINK("[N Only New retention.xlsx]'Lake P Results'!R125", 14.548)</f>
        <v>14.548</v>
      </c>
      <c r="BH129" s="29">
        <f>HYPERLINK("[N Only with New retention and Differentiation.xlsx]'Lake P Results'!R125", 14.548)</f>
        <v>14.548</v>
      </c>
      <c r="BI129" s="46">
        <f>BG129-BF129</f>
        <v>14.548</v>
      </c>
      <c r="BJ129" s="46">
        <f>BH129-BF129</f>
        <v>14.548</v>
      </c>
      <c r="BK129" s="29">
        <f>HYPERLINK("[N Only Old retention.xlsx]'Lake P Results'!Q125", 12.2739999999749)</f>
        <v>12.273999999974899</v>
      </c>
      <c r="BL129" s="29">
        <f>HYPERLINK("[N Only New retention.xlsx]'Lake P Results'!Q125", 12.274)</f>
        <v>12.273999999999999</v>
      </c>
      <c r="BM129" s="29">
        <f>HYPERLINK("[N Only with New retention and Differentiation.xlsx]'Lake P Results'!Q125", 13.443999999976)</f>
        <v>13.443999999976</v>
      </c>
      <c r="BN129" s="46">
        <f>BL129-BK129</f>
        <v>2.5099922140725539E-11</v>
      </c>
      <c r="BO129" s="46">
        <f>BM129-BK129</f>
        <v>1.1700000000011013</v>
      </c>
    </row>
    <row r="130" spans="1:67" x14ac:dyDescent="0.55000000000000004">
      <c r="A130" s="30">
        <v>379</v>
      </c>
      <c r="B130" s="6" t="s">
        <v>439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27">
        <f>HYPERLINK("[N Only Old retention.xlsx]'Lake P Results'!O126", 5.69)</f>
        <v>5.69</v>
      </c>
      <c r="BB130" s="27">
        <f>HYPERLINK("[N Only New retention.xlsx]'Lake P Results'!O126", 1.38)</f>
        <v>1.38</v>
      </c>
      <c r="BC130" s="27">
        <f>HYPERLINK("[N Only with New retention and Differentiation.xlsx]'Lake P Results'!O126", 1.38)</f>
        <v>1.38</v>
      </c>
      <c r="BD130" s="47">
        <f>BB130-BA130</f>
        <v>-4.3100000000000005</v>
      </c>
      <c r="BE130" s="47">
        <f>BC130-BA130</f>
        <v>-4.3100000000000005</v>
      </c>
      <c r="BF130" s="27">
        <f>HYPERLINK("[N Only Old retention.xlsx]'Lake P Results'!R126", 1.664)</f>
        <v>1.6639999999999999</v>
      </c>
      <c r="BG130" s="27">
        <f>HYPERLINK("[N Only New retention.xlsx]'Lake P Results'!R126", 0.354)</f>
        <v>0.35399999999999998</v>
      </c>
      <c r="BH130" s="27">
        <f>HYPERLINK("[N Only with New retention and Differentiation.xlsx]'Lake P Results'!R126", 0.354)</f>
        <v>0.35399999999999998</v>
      </c>
      <c r="BI130" s="47">
        <f>BG130-BF130</f>
        <v>-1.31</v>
      </c>
      <c r="BJ130" s="47">
        <f>BH130-BF130</f>
        <v>-1.31</v>
      </c>
      <c r="BK130" s="27">
        <f>HYPERLINK("[N Only Old retention.xlsx]'Lake P Results'!Q126", 2.0099999999648)</f>
        <v>2.0099999999647999</v>
      </c>
      <c r="BL130" s="27">
        <f>HYPERLINK("[N Only New retention.xlsx]'Lake P Results'!Q126", 5.92)</f>
        <v>5.92</v>
      </c>
      <c r="BM130" s="27">
        <f>HYPERLINK("[N Only with New retention and Differentiation.xlsx]'Lake P Results'!Q126", 5.92)</f>
        <v>5.92</v>
      </c>
      <c r="BN130" s="46">
        <f>BL130-BK130</f>
        <v>3.9100000000352</v>
      </c>
      <c r="BO130" s="46">
        <f>BM130-BK130</f>
        <v>3.9100000000352</v>
      </c>
    </row>
    <row r="131" spans="1:67" x14ac:dyDescent="0.55000000000000004">
      <c r="A131" s="31">
        <v>390</v>
      </c>
      <c r="B131" s="5" t="s">
        <v>440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29">
        <f>HYPERLINK("[N Only Old retention.xlsx]'Lake P Results'!M127", 302.44)</f>
        <v>302.44</v>
      </c>
      <c r="AW131" s="29">
        <f>HYPERLINK("[N Only New retention.xlsx]'Lake P Results'!M127", 206.032)</f>
        <v>206.03200000000001</v>
      </c>
      <c r="AX131" s="29">
        <f>HYPERLINK("[N Only with New retention and Differentiation.xlsx]'Lake P Results'!M127", 206.032)</f>
        <v>206.03200000000001</v>
      </c>
      <c r="AY131" s="47">
        <f>AW131-AV131</f>
        <v>-96.407999999999987</v>
      </c>
      <c r="AZ131" s="47">
        <f>AX131-AV131</f>
        <v>-96.407999999999987</v>
      </c>
      <c r="BA131" s="29">
        <f>HYPERLINK("[N Only Old retention.xlsx]'Lake P Results'!O127", 279.33)</f>
        <v>279.33</v>
      </c>
      <c r="BB131" s="29">
        <f>HYPERLINK("[N Only New retention.xlsx]'Lake P Results'!O127", 129.28)</f>
        <v>129.28</v>
      </c>
      <c r="BC131" s="29">
        <f>HYPERLINK("[N Only with New retention and Differentiation.xlsx]'Lake P Results'!O127", 115.81)</f>
        <v>115.81</v>
      </c>
      <c r="BD131" s="47">
        <f>BB131-BA131</f>
        <v>-150.04999999999998</v>
      </c>
      <c r="BE131" s="47">
        <f>BC131-BA131</f>
        <v>-163.51999999999998</v>
      </c>
      <c r="BF131" s="13"/>
      <c r="BG131" s="29">
        <f>HYPERLINK("[N Only New retention.xlsx]'Lake P Results'!R127", 84.618)</f>
        <v>84.617999999999995</v>
      </c>
      <c r="BH131" s="29">
        <f>HYPERLINK("[N Only with New retention and Differentiation.xlsx]'Lake P Results'!R127", 84.618)</f>
        <v>84.617999999999995</v>
      </c>
      <c r="BI131" s="46">
        <f>BG131-BF131</f>
        <v>84.617999999999995</v>
      </c>
      <c r="BJ131" s="46">
        <f>BH131-BF131</f>
        <v>84.617999999999995</v>
      </c>
      <c r="BK131" s="29">
        <f>HYPERLINK("[N Only Old retention.xlsx]'Lake P Results'!Q127", 44.1379999999775)</f>
        <v>44.137999999977502</v>
      </c>
      <c r="BL131" s="29">
        <f>HYPERLINK("[N Only New retention.xlsx]'Lake P Results'!Q127", 67.528)</f>
        <v>67.528000000000006</v>
      </c>
      <c r="BM131" s="29">
        <f>HYPERLINK("[N Only with New retention and Differentiation.xlsx]'Lake P Results'!Q127", 67.808)</f>
        <v>67.808000000000007</v>
      </c>
      <c r="BN131" s="46">
        <f>BL131-BK131</f>
        <v>23.390000000022503</v>
      </c>
      <c r="BO131" s="46">
        <f>BM131-BK131</f>
        <v>23.670000000022505</v>
      </c>
    </row>
    <row r="132" spans="1:67" x14ac:dyDescent="0.55000000000000004">
      <c r="A132" s="30">
        <v>392</v>
      </c>
      <c r="B132" s="6" t="s">
        <v>441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</row>
    <row r="133" spans="1:67" x14ac:dyDescent="0.55000000000000004">
      <c r="A133" s="31">
        <v>394</v>
      </c>
      <c r="B133" s="5" t="s">
        <v>442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</row>
    <row r="134" spans="1:67" x14ac:dyDescent="0.55000000000000004">
      <c r="A134" s="30">
        <v>395</v>
      </c>
      <c r="B134" s="6" t="s">
        <v>443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</row>
    <row r="135" spans="1:67" x14ac:dyDescent="0.55000000000000004">
      <c r="A135" s="31">
        <v>397</v>
      </c>
      <c r="B135" s="5" t="s">
        <v>444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29">
        <f>HYPERLINK("[N Only Old retention.xlsx]'Lake P Results'!M131", 177.702)</f>
        <v>177.702</v>
      </c>
      <c r="AW135" s="29">
        <f>HYPERLINK("[N Only New retention.xlsx]'Lake P Results'!M131", 102.832)</f>
        <v>102.83199999999999</v>
      </c>
      <c r="AX135" s="29">
        <f>HYPERLINK("[N Only with New retention and Differentiation.xlsx]'Lake P Results'!M131", 102.832)</f>
        <v>102.83199999999999</v>
      </c>
      <c r="AY135" s="47">
        <f>AW135-AV135</f>
        <v>-74.87</v>
      </c>
      <c r="AZ135" s="47">
        <f>AX135-AV135</f>
        <v>-74.87</v>
      </c>
      <c r="BA135" s="29">
        <f>HYPERLINK("[N Only Old retention.xlsx]'Lake P Results'!O131", 2.04)</f>
        <v>2.04</v>
      </c>
      <c r="BB135" s="29">
        <f>HYPERLINK("[N Only New retention.xlsx]'Lake P Results'!O131", 1.42)</f>
        <v>1.42</v>
      </c>
      <c r="BC135" s="29">
        <f>HYPERLINK("[N Only with New retention and Differentiation.xlsx]'Lake P Results'!O131", 1.42)</f>
        <v>1.42</v>
      </c>
      <c r="BD135" s="47">
        <f>BB135-BA135</f>
        <v>-0.62000000000000011</v>
      </c>
      <c r="BE135" s="47">
        <f>BC135-BA135</f>
        <v>-0.62000000000000011</v>
      </c>
      <c r="BF135" s="29">
        <f>HYPERLINK("[N Only Old retention.xlsx]'Lake P Results'!R131", 2.854)</f>
        <v>2.8540000000000001</v>
      </c>
      <c r="BG135" s="29">
        <f>HYPERLINK("[N Only New retention.xlsx]'Lake P Results'!R131", 2.784)</f>
        <v>2.7839999999999998</v>
      </c>
      <c r="BH135" s="29">
        <f>HYPERLINK("[N Only with New retention and Differentiation.xlsx]'Lake P Results'!R131", 2.784)</f>
        <v>2.7839999999999998</v>
      </c>
      <c r="BI135" s="47">
        <f>BG135-BF135</f>
        <v>-7.0000000000000284E-2</v>
      </c>
      <c r="BJ135" s="47">
        <f>BH135-BF135</f>
        <v>-7.0000000000000284E-2</v>
      </c>
      <c r="BK135" s="29">
        <f>HYPERLINK("[N Only Old retention.xlsx]'Lake P Results'!Q131", 1.84999999994884)</f>
        <v>1.8499999999488399</v>
      </c>
      <c r="BL135" s="29">
        <f>HYPERLINK("[N Only New retention.xlsx]'Lake P Results'!Q131", 1.85)</f>
        <v>1.85</v>
      </c>
      <c r="BM135" s="29">
        <f>HYPERLINK("[N Only with New retention and Differentiation.xlsx]'Lake P Results'!Q131", 1.85)</f>
        <v>1.85</v>
      </c>
      <c r="BN135" s="46">
        <f>BL135-BK135</f>
        <v>5.1160187197751839E-11</v>
      </c>
      <c r="BO135" s="46">
        <f>BM135-BK135</f>
        <v>5.1160187197751839E-11</v>
      </c>
    </row>
    <row r="136" spans="1:67" x14ac:dyDescent="0.55000000000000004">
      <c r="A136" s="30">
        <v>399</v>
      </c>
      <c r="B136" s="6" t="s">
        <v>445</v>
      </c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27">
        <f>HYPERLINK("[N Only Old retention.xlsx]'Lake P Results'!O132", 0.6)</f>
        <v>0.6</v>
      </c>
      <c r="BB136" s="18"/>
      <c r="BC136" s="18"/>
      <c r="BD136" s="47">
        <f>BB136-BA136</f>
        <v>-0.6</v>
      </c>
      <c r="BE136" s="47">
        <f>BC136-BA136</f>
        <v>-0.6</v>
      </c>
      <c r="BF136" s="18"/>
      <c r="BG136" s="27">
        <f>HYPERLINK("[N Only New retention.xlsx]'Lake P Results'!R132", 13.27)</f>
        <v>13.27</v>
      </c>
      <c r="BH136" s="27">
        <f>HYPERLINK("[N Only with New retention and Differentiation.xlsx]'Lake P Results'!R132", 13.27)</f>
        <v>13.27</v>
      </c>
      <c r="BI136" s="46">
        <f>BG136-BF136</f>
        <v>13.27</v>
      </c>
      <c r="BJ136" s="46">
        <f>BH136-BF136</f>
        <v>13.27</v>
      </c>
      <c r="BK136" s="27">
        <f>HYPERLINK("[N Only Old retention.xlsx]'Lake P Results'!Q132", 0.820000000000002)</f>
        <v>0.82000000000000195</v>
      </c>
      <c r="BL136" s="27">
        <f>HYPERLINK("[N Only New retention.xlsx]'Lake P Results'!Q132", 1.57)</f>
        <v>1.57</v>
      </c>
      <c r="BM136" s="27">
        <f>HYPERLINK("[N Only with New retention and Differentiation.xlsx]'Lake P Results'!Q132", 1.57)</f>
        <v>1.57</v>
      </c>
      <c r="BN136" s="46">
        <f>BL136-BK136</f>
        <v>0.74999999999999811</v>
      </c>
      <c r="BO136" s="46">
        <f>BM136-BK136</f>
        <v>0.74999999999999811</v>
      </c>
    </row>
    <row r="137" spans="1:67" x14ac:dyDescent="0.55000000000000004">
      <c r="A137" s="31">
        <v>404</v>
      </c>
      <c r="B137" s="5" t="s">
        <v>446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29">
        <f>HYPERLINK("[N Only Old retention.xlsx]'Lake P Results'!M133", 4.51)</f>
        <v>4.51</v>
      </c>
      <c r="AW137" s="29">
        <f>HYPERLINK("[N Only New retention.xlsx]'Lake P Results'!M133", 9.37)</f>
        <v>9.3699999999999992</v>
      </c>
      <c r="AX137" s="29">
        <f>HYPERLINK("[N Only with New retention and Differentiation.xlsx]'Lake P Results'!M133", 9.37)</f>
        <v>9.3699999999999992</v>
      </c>
      <c r="AY137" s="46">
        <f>AW137-AV137</f>
        <v>4.8599999999999994</v>
      </c>
      <c r="AZ137" s="46">
        <f>AX137-AV137</f>
        <v>4.8599999999999994</v>
      </c>
      <c r="BA137" s="13"/>
      <c r="BB137" s="13"/>
      <c r="BC137" s="13"/>
      <c r="BD137" s="13"/>
      <c r="BE137" s="13"/>
      <c r="BF137" s="29">
        <f>HYPERLINK("[N Only Old retention.xlsx]'Lake P Results'!R133", 2.28)</f>
        <v>2.2799999999999998</v>
      </c>
      <c r="BG137" s="29">
        <f>HYPERLINK("[N Only New retention.xlsx]'Lake P Results'!R133", 2.28)</f>
        <v>2.2799999999999998</v>
      </c>
      <c r="BH137" s="29">
        <f>HYPERLINK("[N Only with New retention and Differentiation.xlsx]'Lake P Results'!R133", 2.28)</f>
        <v>2.2799999999999998</v>
      </c>
      <c r="BI137" s="13"/>
      <c r="BJ137" s="13"/>
      <c r="BK137" s="29">
        <f>HYPERLINK("[N Only Old retention.xlsx]'Lake P Results'!Q133", 2.64999999995317)</f>
        <v>2.6499999999531698</v>
      </c>
      <c r="BL137" s="29">
        <f>HYPERLINK("[N Only New retention.xlsx]'Lake P Results'!Q133", 2.17)</f>
        <v>2.17</v>
      </c>
      <c r="BM137" s="29">
        <f>HYPERLINK("[N Only with New retention and Differentiation.xlsx]'Lake P Results'!Q133", 2.17)</f>
        <v>2.17</v>
      </c>
      <c r="BN137" s="47">
        <f>BL137-BK137</f>
        <v>-0.47999999995316989</v>
      </c>
      <c r="BO137" s="47">
        <f>BM137-BK137</f>
        <v>-0.47999999995316989</v>
      </c>
    </row>
    <row r="138" spans="1:67" x14ac:dyDescent="0.55000000000000004">
      <c r="A138" s="30">
        <v>406</v>
      </c>
      <c r="B138" s="6" t="s">
        <v>447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27">
        <f>HYPERLINK("[N Only Old retention.xlsx]'Lake P Results'!M134", 928.59399999988)</f>
        <v>928.59399999988</v>
      </c>
      <c r="AW138" s="27">
        <f>HYPERLINK("[N Only New retention.xlsx]'Lake P Results'!M134", 123.892)</f>
        <v>123.892</v>
      </c>
      <c r="AX138" s="27">
        <f>HYPERLINK("[N Only with New retention and Differentiation.xlsx]'Lake P Results'!M134", 123.892)</f>
        <v>123.892</v>
      </c>
      <c r="AY138" s="47">
        <f>AW138-AV138</f>
        <v>-804.70199999987994</v>
      </c>
      <c r="AZ138" s="47">
        <f>AX138-AV138</f>
        <v>-804.70199999987994</v>
      </c>
      <c r="BA138" s="27">
        <f>HYPERLINK("[N Only Old retention.xlsx]'Lake P Results'!O134", 71.5)</f>
        <v>71.5</v>
      </c>
      <c r="BB138" s="18"/>
      <c r="BC138" s="18"/>
      <c r="BD138" s="47">
        <f>BB138-BA138</f>
        <v>-71.5</v>
      </c>
      <c r="BE138" s="47">
        <f>BC138-BA138</f>
        <v>-71.5</v>
      </c>
      <c r="BF138" s="27">
        <f>HYPERLINK("[N Only Old retention.xlsx]'Lake P Results'!R134", 5.64399999999474)</f>
        <v>5.6439999999947403</v>
      </c>
      <c r="BG138" s="18"/>
      <c r="BH138" s="18"/>
      <c r="BI138" s="47">
        <f>BG138-BF138</f>
        <v>-5.6439999999947403</v>
      </c>
      <c r="BJ138" s="47">
        <f>BH138-BF138</f>
        <v>-5.6439999999947403</v>
      </c>
      <c r="BK138" s="27">
        <f>HYPERLINK("[N Only Old retention.xlsx]'Lake P Results'!Q134", 6.856)</f>
        <v>6.8559999999999999</v>
      </c>
      <c r="BL138" s="27">
        <f>HYPERLINK("[N Only New retention.xlsx]'Lake P Results'!Q134", 3.38)</f>
        <v>3.38</v>
      </c>
      <c r="BM138" s="27">
        <f>HYPERLINK("[N Only with New retention and Differentiation.xlsx]'Lake P Results'!Q134", 3.38)</f>
        <v>3.38</v>
      </c>
      <c r="BN138" s="47">
        <f>BL138-BK138</f>
        <v>-3.476</v>
      </c>
      <c r="BO138" s="47">
        <f>BM138-BK138</f>
        <v>-3.476</v>
      </c>
    </row>
    <row r="139" spans="1:67" x14ac:dyDescent="0.55000000000000004">
      <c r="A139" s="31">
        <v>409</v>
      </c>
      <c r="B139" s="5" t="s">
        <v>448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29">
        <f>HYPERLINK("[N Only Old retention.xlsx]'Lake P Results'!M135", 3.348)</f>
        <v>3.3479999999999999</v>
      </c>
      <c r="AW139" s="29">
        <f>HYPERLINK("[N Only New retention.xlsx]'Lake P Results'!M135", 1.998)</f>
        <v>1.998</v>
      </c>
      <c r="AX139" s="29">
        <f>HYPERLINK("[N Only with New retention and Differentiation.xlsx]'Lake P Results'!M135", 1.998)</f>
        <v>1.998</v>
      </c>
      <c r="AY139" s="47">
        <f>AW139-AV139</f>
        <v>-1.3499999999999999</v>
      </c>
      <c r="AZ139" s="47">
        <f>AX139-AV139</f>
        <v>-1.3499999999999999</v>
      </c>
      <c r="BA139" s="13"/>
      <c r="BB139" s="13"/>
      <c r="BC139" s="13"/>
      <c r="BD139" s="13"/>
      <c r="BE139" s="13"/>
      <c r="BF139" s="29">
        <f>HYPERLINK("[N Only Old retention.xlsx]'Lake P Results'!R135", 128.466)</f>
        <v>128.46600000000001</v>
      </c>
      <c r="BG139" s="29">
        <f>HYPERLINK("[N Only New retention.xlsx]'Lake P Results'!R135", 22.55)</f>
        <v>22.55</v>
      </c>
      <c r="BH139" s="29">
        <f>HYPERLINK("[N Only with New retention and Differentiation.xlsx]'Lake P Results'!R135", 22.55)</f>
        <v>22.55</v>
      </c>
      <c r="BI139" s="47">
        <f>BG139-BF139</f>
        <v>-105.91600000000001</v>
      </c>
      <c r="BJ139" s="47">
        <f>BH139-BF139</f>
        <v>-105.91600000000001</v>
      </c>
      <c r="BK139" s="29">
        <f>HYPERLINK("[N Only Old retention.xlsx]'Lake P Results'!Q135", 19.922)</f>
        <v>19.922000000000001</v>
      </c>
      <c r="BL139" s="29">
        <f>HYPERLINK("[N Only New retention.xlsx]'Lake P Results'!Q135", 33.132)</f>
        <v>33.131999999999998</v>
      </c>
      <c r="BM139" s="29">
        <f>HYPERLINK("[N Only with New retention and Differentiation.xlsx]'Lake P Results'!Q135", 33.132)</f>
        <v>33.131999999999998</v>
      </c>
      <c r="BN139" s="46">
        <f>BL139-BK139</f>
        <v>13.209999999999997</v>
      </c>
      <c r="BO139" s="46">
        <f>BM139-BK139</f>
        <v>13.209999999999997</v>
      </c>
    </row>
    <row r="140" spans="1:67" x14ac:dyDescent="0.55000000000000004">
      <c r="A140" s="30">
        <v>411</v>
      </c>
      <c r="B140" s="6" t="s">
        <v>449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27">
        <f>HYPERLINK("[N Only Old retention.xlsx]'Lake P Results'!M136", 56.4359999999134)</f>
        <v>56.435999999913399</v>
      </c>
      <c r="AW140" s="27">
        <f>HYPERLINK("[N Only New retention.xlsx]'Lake P Results'!M136", 35.414)</f>
        <v>35.414000000000001</v>
      </c>
      <c r="AX140" s="27">
        <f>HYPERLINK("[N Only with New retention and Differentiation.xlsx]'Lake P Results'!M136", 36.392)</f>
        <v>36.392000000000003</v>
      </c>
      <c r="AY140" s="47">
        <f>AW140-AV140</f>
        <v>-21.021999999913398</v>
      </c>
      <c r="AZ140" s="47">
        <f>AX140-AV140</f>
        <v>-20.043999999913396</v>
      </c>
      <c r="BA140" s="27">
        <f>HYPERLINK("[N Only Old retention.xlsx]'Lake P Results'!O136", 2.98)</f>
        <v>2.98</v>
      </c>
      <c r="BB140" s="18"/>
      <c r="BC140" s="18"/>
      <c r="BD140" s="47">
        <f>BB140-BA140</f>
        <v>-2.98</v>
      </c>
      <c r="BE140" s="47">
        <f>BC140-BA140</f>
        <v>-2.98</v>
      </c>
      <c r="BF140" s="27">
        <f>HYPERLINK("[N Only Old retention.xlsx]'Lake P Results'!R136", 40.26)</f>
        <v>40.26</v>
      </c>
      <c r="BG140" s="27">
        <f>HYPERLINK("[N Only New retention.xlsx]'Lake P Results'!R136", 40.26)</f>
        <v>40.26</v>
      </c>
      <c r="BH140" s="27">
        <f>HYPERLINK("[N Only with New retention and Differentiation.xlsx]'Lake P Results'!R136", 40.26)</f>
        <v>40.26</v>
      </c>
      <c r="BI140" s="18"/>
      <c r="BJ140" s="18"/>
      <c r="BK140" s="27">
        <f>HYPERLINK("[N Only Old retention.xlsx]'Lake P Results'!Q136", 3.39)</f>
        <v>3.39</v>
      </c>
      <c r="BL140" s="27">
        <f>HYPERLINK("[N Only New retention.xlsx]'Lake P Results'!Q136", 3.39)</f>
        <v>3.39</v>
      </c>
      <c r="BM140" s="27">
        <f>HYPERLINK("[N Only with New retention and Differentiation.xlsx]'Lake P Results'!Q136", 3.39)</f>
        <v>3.39</v>
      </c>
      <c r="BN140" s="18"/>
      <c r="BO140" s="18"/>
    </row>
    <row r="141" spans="1:67" x14ac:dyDescent="0.55000000000000004">
      <c r="A141" s="31">
        <v>412</v>
      </c>
      <c r="B141" s="5" t="s">
        <v>450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29">
        <f>HYPERLINK("[N Only Old retention.xlsx]'Lake P Results'!M137", 1322.158)</f>
        <v>1322.1579999999999</v>
      </c>
      <c r="AW141" s="29">
        <f>HYPERLINK("[N Only New retention.xlsx]'Lake P Results'!M137", 1466.278)</f>
        <v>1466.278</v>
      </c>
      <c r="AX141" s="29">
        <f>HYPERLINK("[N Only with New retention and Differentiation.xlsx]'Lake P Results'!M137", 1510.368)</f>
        <v>1510.3679999999999</v>
      </c>
      <c r="AY141" s="46">
        <f>AW141-AV141</f>
        <v>144.12000000000012</v>
      </c>
      <c r="AZ141" s="46">
        <f>AX141-AV141</f>
        <v>188.21000000000004</v>
      </c>
      <c r="BA141" s="29">
        <f>HYPERLINK("[N Only Old retention.xlsx]'Lake P Results'!O137", 11.63)</f>
        <v>11.63</v>
      </c>
      <c r="BB141" s="29">
        <f>HYPERLINK("[N Only New retention.xlsx]'Lake P Results'!O137", 11.63)</f>
        <v>11.63</v>
      </c>
      <c r="BC141" s="29">
        <f>HYPERLINK("[N Only with New retention and Differentiation.xlsx]'Lake P Results'!O137", 11.63)</f>
        <v>11.63</v>
      </c>
      <c r="BD141" s="13"/>
      <c r="BE141" s="13"/>
      <c r="BF141" s="13"/>
      <c r="BG141" s="13"/>
      <c r="BH141" s="13"/>
      <c r="BI141" s="13"/>
      <c r="BJ141" s="13"/>
      <c r="BK141" s="29">
        <f>HYPERLINK("[N Only Old retention.xlsx]'Lake P Results'!Q137", 24.686)</f>
        <v>24.686</v>
      </c>
      <c r="BL141" s="29">
        <f>HYPERLINK("[N Only New retention.xlsx]'Lake P Results'!Q137", 23.436)</f>
        <v>23.436</v>
      </c>
      <c r="BM141" s="29">
        <f>HYPERLINK("[N Only with New retention and Differentiation.xlsx]'Lake P Results'!Q137", 23.436)</f>
        <v>23.436</v>
      </c>
      <c r="BN141" s="47">
        <f>BL141-BK141</f>
        <v>-1.25</v>
      </c>
      <c r="BO141" s="47">
        <f>BM141-BK141</f>
        <v>-1.25</v>
      </c>
    </row>
    <row r="142" spans="1:67" x14ac:dyDescent="0.55000000000000004">
      <c r="A142" s="30">
        <v>413</v>
      </c>
      <c r="B142" s="6" t="s">
        <v>451</v>
      </c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27">
        <f>HYPERLINK("[N Only Old retention.xlsx]'Lake P Results'!M138", 337.294)</f>
        <v>337.29399999999998</v>
      </c>
      <c r="AW142" s="27">
        <f>HYPERLINK("[N Only New retention.xlsx]'Lake P Results'!M138", 575.564)</f>
        <v>575.56399999999996</v>
      </c>
      <c r="AX142" s="27">
        <f>HYPERLINK("[N Only with New retention and Differentiation.xlsx]'Lake P Results'!M138", 575.564)</f>
        <v>575.56399999999996</v>
      </c>
      <c r="AY142" s="46">
        <f>AW142-AV142</f>
        <v>238.26999999999998</v>
      </c>
      <c r="AZ142" s="46">
        <f>AX142-AV142</f>
        <v>238.26999999999998</v>
      </c>
      <c r="BA142" s="18"/>
      <c r="BB142" s="18"/>
      <c r="BC142" s="18"/>
      <c r="BD142" s="18"/>
      <c r="BE142" s="18"/>
      <c r="BF142" s="27">
        <f>HYPERLINK("[N Only Old retention.xlsx]'Lake P Results'!R138", 252.618)</f>
        <v>252.61799999999999</v>
      </c>
      <c r="BG142" s="27">
        <f>HYPERLINK("[N Only New retention.xlsx]'Lake P Results'!R138", 98.832)</f>
        <v>98.831999999999994</v>
      </c>
      <c r="BH142" s="27">
        <f>HYPERLINK("[N Only with New retention and Differentiation.xlsx]'Lake P Results'!R138", 98.832)</f>
        <v>98.831999999999994</v>
      </c>
      <c r="BI142" s="47">
        <f>BG142-BF142</f>
        <v>-153.786</v>
      </c>
      <c r="BJ142" s="47">
        <f>BH142-BF142</f>
        <v>-153.786</v>
      </c>
      <c r="BK142" s="27">
        <f>HYPERLINK("[N Only Old retention.xlsx]'Lake P Results'!Q138", 25.09)</f>
        <v>25.09</v>
      </c>
      <c r="BL142" s="27">
        <f>HYPERLINK("[N Only New retention.xlsx]'Lake P Results'!Q138", 26.28)</f>
        <v>26.28</v>
      </c>
      <c r="BM142" s="27">
        <f>HYPERLINK("[N Only with New retention and Differentiation.xlsx]'Lake P Results'!Q138", 26.28)</f>
        <v>26.28</v>
      </c>
      <c r="BN142" s="46">
        <f>BL142-BK142</f>
        <v>1.1900000000000013</v>
      </c>
      <c r="BO142" s="46">
        <f>BM142-BK142</f>
        <v>1.1900000000000013</v>
      </c>
    </row>
    <row r="143" spans="1:67" x14ac:dyDescent="0.55000000000000004">
      <c r="A143" s="31">
        <v>418</v>
      </c>
      <c r="B143" s="5" t="s">
        <v>452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29">
        <f>HYPERLINK("[N Only Old retention.xlsx]'Lake P Results'!M139", 1444.93799999996)</f>
        <v>1444.9379999999601</v>
      </c>
      <c r="AW143" s="29">
        <f>HYPERLINK("[N Only New retention.xlsx]'Lake P Results'!M139", 1014.996)</f>
        <v>1014.996</v>
      </c>
      <c r="AX143" s="29">
        <f>HYPERLINK("[N Only with New retention and Differentiation.xlsx]'Lake P Results'!M139", 1014.996)</f>
        <v>1014.996</v>
      </c>
      <c r="AY143" s="47">
        <f>AW143-AV143</f>
        <v>-429.9419999999601</v>
      </c>
      <c r="AZ143" s="47">
        <f>AX143-AV143</f>
        <v>-429.9419999999601</v>
      </c>
      <c r="BA143" s="29">
        <f>HYPERLINK("[N Only Old retention.xlsx]'Lake P Results'!O139", 15.84)</f>
        <v>15.84</v>
      </c>
      <c r="BB143" s="13"/>
      <c r="BC143" s="13"/>
      <c r="BD143" s="47">
        <f>BB143-BA143</f>
        <v>-15.84</v>
      </c>
      <c r="BE143" s="47">
        <f>BC143-BA143</f>
        <v>-15.84</v>
      </c>
      <c r="BF143" s="29">
        <f>HYPERLINK("[N Only Old retention.xlsx]'Lake P Results'!R139", 9.78)</f>
        <v>9.7799999999999994</v>
      </c>
      <c r="BG143" s="13"/>
      <c r="BH143" s="13"/>
      <c r="BI143" s="47">
        <f>BG143-BF143</f>
        <v>-9.7799999999999994</v>
      </c>
      <c r="BJ143" s="47">
        <f>BH143-BF143</f>
        <v>-9.7799999999999994</v>
      </c>
      <c r="BK143" s="29">
        <f>HYPERLINK("[N Only Old retention.xlsx]'Lake P Results'!Q139", 1.312)</f>
        <v>1.3120000000000001</v>
      </c>
      <c r="BL143" s="29">
        <f>HYPERLINK("[N Only New retention.xlsx]'Lake P Results'!Q139", 0.37)</f>
        <v>0.37</v>
      </c>
      <c r="BM143" s="29">
        <f>HYPERLINK("[N Only with New retention and Differentiation.xlsx]'Lake P Results'!Q139", 0.37)</f>
        <v>0.37</v>
      </c>
      <c r="BN143" s="47">
        <f>BL143-BK143</f>
        <v>-0.94200000000000006</v>
      </c>
      <c r="BO143" s="47">
        <f>BM143-BK143</f>
        <v>-0.94200000000000006</v>
      </c>
    </row>
    <row r="144" spans="1:67" x14ac:dyDescent="0.55000000000000004">
      <c r="A144" s="30">
        <v>419</v>
      </c>
      <c r="B144" s="6" t="s">
        <v>453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27">
        <f>HYPERLINK("[N Only Old retention.xlsx]'Lake P Results'!M140", 311.08599999995)</f>
        <v>311.08599999994999</v>
      </c>
      <c r="AW144" s="27">
        <f>HYPERLINK("[N Only New retention.xlsx]'Lake P Results'!M140", 145.46)</f>
        <v>145.46</v>
      </c>
      <c r="AX144" s="27">
        <f>HYPERLINK("[N Only with New retention and Differentiation.xlsx]'Lake P Results'!M140", 145.46)</f>
        <v>145.46</v>
      </c>
      <c r="AY144" s="47">
        <f>AW144-AV144</f>
        <v>-165.62599999994998</v>
      </c>
      <c r="AZ144" s="47">
        <f>AX144-AV144</f>
        <v>-165.62599999994998</v>
      </c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</row>
    <row r="145" spans="1:67" x14ac:dyDescent="0.55000000000000004">
      <c r="A145" s="31">
        <v>420</v>
      </c>
      <c r="B145" s="5" t="s">
        <v>454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</row>
    <row r="146" spans="1:67" x14ac:dyDescent="0.55000000000000004">
      <c r="A146" s="30">
        <v>424</v>
      </c>
      <c r="B146" s="6" t="s">
        <v>455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27">
        <f>HYPERLINK("[N Only Old retention.xlsx]'Lake P Results'!O142", 152.686)</f>
        <v>152.68600000000001</v>
      </c>
      <c r="BB146" s="27">
        <f>HYPERLINK("[N Only New retention.xlsx]'Lake P Results'!O142", 146.586)</f>
        <v>146.58600000000001</v>
      </c>
      <c r="BC146" s="27">
        <f>HYPERLINK("[N Only with New retention and Differentiation.xlsx]'Lake P Results'!O142", 140.396)</f>
        <v>140.39599999999999</v>
      </c>
      <c r="BD146" s="47">
        <f>BB146-BA146</f>
        <v>-6.0999999999999943</v>
      </c>
      <c r="BE146" s="47">
        <f>BC146-BA146</f>
        <v>-12.29000000000002</v>
      </c>
      <c r="BF146" s="18"/>
      <c r="BG146" s="27">
        <f>HYPERLINK("[N Only New retention.xlsx]'Lake P Results'!R142", 36.488)</f>
        <v>36.488</v>
      </c>
      <c r="BH146" s="27">
        <f>HYPERLINK("[N Only with New retention and Differentiation.xlsx]'Lake P Results'!R142", 37.058)</f>
        <v>37.058</v>
      </c>
      <c r="BI146" s="46">
        <f>BG146-BF146</f>
        <v>36.488</v>
      </c>
      <c r="BJ146" s="46">
        <f>BH146-BF146</f>
        <v>37.058</v>
      </c>
      <c r="BK146" s="27">
        <f>HYPERLINK("[N Only Old retention.xlsx]'Lake P Results'!Q142", 45.25)</f>
        <v>45.25</v>
      </c>
      <c r="BL146" s="27">
        <f>HYPERLINK("[N Only New retention.xlsx]'Lake P Results'!Q142", 46.67)</f>
        <v>46.67</v>
      </c>
      <c r="BM146" s="27">
        <f>HYPERLINK("[N Only with New retention and Differentiation.xlsx]'Lake P Results'!Q142", 47.27)</f>
        <v>47.27</v>
      </c>
      <c r="BN146" s="46">
        <f>BL146-BK146</f>
        <v>1.4200000000000017</v>
      </c>
      <c r="BO146" s="46">
        <f>BM146-BK146</f>
        <v>2.0200000000000031</v>
      </c>
    </row>
    <row r="147" spans="1:67" x14ac:dyDescent="0.55000000000000004">
      <c r="A147" s="31">
        <v>428</v>
      </c>
      <c r="B147" s="5" t="s">
        <v>456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29">
        <f>HYPERLINK("[N Only Old retention.xlsx]'Lake P Results'!Q143", 1.46)</f>
        <v>1.46</v>
      </c>
      <c r="BL147" s="29">
        <f>HYPERLINK("[N Only New retention.xlsx]'Lake P Results'!Q143", 1.46)</f>
        <v>1.46</v>
      </c>
      <c r="BM147" s="29">
        <f>HYPERLINK("[N Only with New retention and Differentiation.xlsx]'Lake P Results'!Q143", 1.46)</f>
        <v>1.46</v>
      </c>
      <c r="BN147" s="13"/>
      <c r="BO147" s="13"/>
    </row>
    <row r="148" spans="1:67" x14ac:dyDescent="0.55000000000000004">
      <c r="A148" s="30">
        <v>429</v>
      </c>
      <c r="B148" s="6" t="s">
        <v>457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27">
        <f>HYPERLINK("[N Only Old retention.xlsx]'Lake P Results'!Z144", 0.57)</f>
        <v>0.56999999999999995</v>
      </c>
      <c r="AC148" s="27">
        <f>HYPERLINK("[N Only New retention.xlsx]'Lake P Results'!Z144", 0.57)</f>
        <v>0.56999999999999995</v>
      </c>
      <c r="AD148" s="18"/>
      <c r="AE148" s="18"/>
      <c r="AF148" s="47">
        <f>AD148-AB148</f>
        <v>-0.56999999999999995</v>
      </c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27">
        <f>HYPERLINK("[N Only Old retention.xlsx]'Lake P Results'!M144", 47.452)</f>
        <v>47.451999999999998</v>
      </c>
      <c r="AW148" s="27">
        <f>HYPERLINK("[N Only New retention.xlsx]'Lake P Results'!M144", 14.91)</f>
        <v>14.91</v>
      </c>
      <c r="AX148" s="27">
        <f>HYPERLINK("[N Only with New retention and Differentiation.xlsx]'Lake P Results'!M144", 14.91)</f>
        <v>14.91</v>
      </c>
      <c r="AY148" s="47">
        <f>AW148-AV148</f>
        <v>-32.542000000000002</v>
      </c>
      <c r="AZ148" s="47">
        <f>AX148-AV148</f>
        <v>-32.542000000000002</v>
      </c>
      <c r="BA148" s="27">
        <f>HYPERLINK("[N Only Old retention.xlsx]'Lake P Results'!O144", 2912.38)</f>
        <v>2912.38</v>
      </c>
      <c r="BB148" s="27">
        <f>HYPERLINK("[N Only New retention.xlsx]'Lake P Results'!O144", 3048.872)</f>
        <v>3048.8719999999998</v>
      </c>
      <c r="BC148" s="27">
        <f>HYPERLINK("[N Only with New retention and Differentiation.xlsx]'Lake P Results'!O144", 2882.612)</f>
        <v>2882.6120000000001</v>
      </c>
      <c r="BD148" s="46">
        <f>BB148-BA148</f>
        <v>136.49199999999973</v>
      </c>
      <c r="BE148" s="47">
        <f>BC148-BA148</f>
        <v>-29.768000000000029</v>
      </c>
      <c r="BF148" s="27">
        <f>HYPERLINK("[N Only Old retention.xlsx]'Lake P Results'!R144", 342.158991150443)</f>
        <v>342.158991150443</v>
      </c>
      <c r="BG148" s="18"/>
      <c r="BH148" s="18"/>
      <c r="BI148" s="47">
        <f>BG148-BF148</f>
        <v>-342.158991150443</v>
      </c>
      <c r="BJ148" s="47">
        <f>BH148-BF148</f>
        <v>-342.158991150443</v>
      </c>
      <c r="BK148" s="27">
        <f>HYPERLINK("[N Only Old retention.xlsx]'Lake P Results'!Q144", 603.973264094956)</f>
        <v>603.97326409495599</v>
      </c>
      <c r="BL148" s="27">
        <f>HYPERLINK("[N Only New retention.xlsx]'Lake P Results'!Q144", 488.576)</f>
        <v>488.57600000000002</v>
      </c>
      <c r="BM148" s="27">
        <f>HYPERLINK("[N Only with New retention and Differentiation.xlsx]'Lake P Results'!Q144", 525.866)</f>
        <v>525.86599999999999</v>
      </c>
      <c r="BN148" s="47">
        <f>BL148-BK148</f>
        <v>-115.39726409495597</v>
      </c>
      <c r="BO148" s="47">
        <f>BM148-BK148</f>
        <v>-78.107264094956008</v>
      </c>
    </row>
    <row r="149" spans="1:67" x14ac:dyDescent="0.55000000000000004">
      <c r="A149" s="31">
        <v>430</v>
      </c>
      <c r="B149" s="5" t="s">
        <v>458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29">
        <f>HYPERLINK("[N Only Old retention.xlsx]'Lake P Results'!O145", 3.94)</f>
        <v>3.94</v>
      </c>
      <c r="BB149" s="29">
        <f>HYPERLINK("[N Only New retention.xlsx]'Lake P Results'!O145", 3.94)</f>
        <v>3.94</v>
      </c>
      <c r="BC149" s="29">
        <f>HYPERLINK("[N Only with New retention and Differentiation.xlsx]'Lake P Results'!O145", 3.94)</f>
        <v>3.94</v>
      </c>
      <c r="BD149" s="13"/>
      <c r="BE149" s="13"/>
      <c r="BF149" s="13"/>
      <c r="BG149" s="13"/>
      <c r="BH149" s="13"/>
      <c r="BI149" s="13"/>
      <c r="BJ149" s="13"/>
      <c r="BK149" s="29">
        <f>HYPERLINK("[N Only Old retention.xlsx]'Lake P Results'!Q145", 7.116)</f>
        <v>7.1159999999999997</v>
      </c>
      <c r="BL149" s="29">
        <f>HYPERLINK("[N Only New retention.xlsx]'Lake P Results'!Q145", 7.116)</f>
        <v>7.1159999999999997</v>
      </c>
      <c r="BM149" s="29">
        <f>HYPERLINK("[N Only with New retention and Differentiation.xlsx]'Lake P Results'!Q145", 7.116)</f>
        <v>7.1159999999999997</v>
      </c>
      <c r="BN149" s="13"/>
      <c r="BO149" s="13"/>
    </row>
    <row r="150" spans="1:67" x14ac:dyDescent="0.55000000000000004">
      <c r="A150" s="30">
        <v>432</v>
      </c>
      <c r="B150" s="6" t="s">
        <v>459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27">
        <f>HYPERLINK("[N Only Old retention.xlsx]'Lake P Results'!O146", 199.102)</f>
        <v>199.102</v>
      </c>
      <c r="BB150" s="27">
        <f>HYPERLINK("[N Only New retention.xlsx]'Lake P Results'!O146", 190.402)</f>
        <v>190.40199999999999</v>
      </c>
      <c r="BC150" s="27">
        <f>HYPERLINK("[N Only with New retention and Differentiation.xlsx]'Lake P Results'!O146", 172.472)</f>
        <v>172.47200000000001</v>
      </c>
      <c r="BD150" s="47">
        <f>BB150-BA150</f>
        <v>-8.7000000000000171</v>
      </c>
      <c r="BE150" s="47">
        <f>BC150-BA150</f>
        <v>-26.629999999999995</v>
      </c>
      <c r="BF150" s="18"/>
      <c r="BG150" s="18"/>
      <c r="BH150" s="18"/>
      <c r="BI150" s="18"/>
      <c r="BJ150" s="18"/>
      <c r="BK150" s="27">
        <f>HYPERLINK("[N Only Old retention.xlsx]'Lake P Results'!Q146", 37.29)</f>
        <v>37.29</v>
      </c>
      <c r="BL150" s="27">
        <f>HYPERLINK("[N Only New retention.xlsx]'Lake P Results'!Q146", 45.968)</f>
        <v>45.968000000000004</v>
      </c>
      <c r="BM150" s="27">
        <f>HYPERLINK("[N Only with New retention and Differentiation.xlsx]'Lake P Results'!Q146", 47.118)</f>
        <v>47.118000000000002</v>
      </c>
      <c r="BN150" s="46">
        <f>BL150-BK150</f>
        <v>8.6780000000000044</v>
      </c>
      <c r="BO150" s="46">
        <f>BM150-BK150</f>
        <v>9.828000000000003</v>
      </c>
    </row>
    <row r="151" spans="1:67" x14ac:dyDescent="0.55000000000000004">
      <c r="A151" s="31">
        <v>435</v>
      </c>
      <c r="B151" s="5" t="s">
        <v>460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29">
        <f>HYPERLINK("[N Only Old retention.xlsx]'Lake P Results'!R147", 29.41)</f>
        <v>29.41</v>
      </c>
      <c r="BG151" s="13"/>
      <c r="BH151" s="13"/>
      <c r="BI151" s="47">
        <f>BG151-BF151</f>
        <v>-29.41</v>
      </c>
      <c r="BJ151" s="47">
        <f>BH151-BF151</f>
        <v>-29.41</v>
      </c>
      <c r="BK151" s="29">
        <f>HYPERLINK("[N Only Old retention.xlsx]'Lake P Results'!Q147", 38.72)</f>
        <v>38.72</v>
      </c>
      <c r="BL151" s="29">
        <f>HYPERLINK("[N Only New retention.xlsx]'Lake P Results'!Q147", 41.73)</f>
        <v>41.73</v>
      </c>
      <c r="BM151" s="29">
        <f>HYPERLINK("[N Only with New retention and Differentiation.xlsx]'Lake P Results'!Q147", 42.35)</f>
        <v>42.35</v>
      </c>
      <c r="BN151" s="46">
        <f>BL151-BK151</f>
        <v>3.009999999999998</v>
      </c>
      <c r="BO151" s="46">
        <f>BM151-BK151</f>
        <v>3.6300000000000026</v>
      </c>
    </row>
    <row r="152" spans="1:67" x14ac:dyDescent="0.55000000000000004">
      <c r="A152" s="30">
        <v>440</v>
      </c>
      <c r="B152" s="6" t="s">
        <v>461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27">
        <f>HYPERLINK("[N Only Old retention.xlsx]'Lake P Results'!O148", 3.98)</f>
        <v>3.98</v>
      </c>
      <c r="BB152" s="27">
        <f>HYPERLINK("[N Only New retention.xlsx]'Lake P Results'!O148", 6.81)</f>
        <v>6.81</v>
      </c>
      <c r="BC152" s="27">
        <f>HYPERLINK("[N Only with New retention and Differentiation.xlsx]'Lake P Results'!O148", 6.81)</f>
        <v>6.81</v>
      </c>
      <c r="BD152" s="46">
        <f>BB152-BA152</f>
        <v>2.8299999999999996</v>
      </c>
      <c r="BE152" s="46">
        <f>BC152-BA152</f>
        <v>2.8299999999999996</v>
      </c>
      <c r="BF152" s="27">
        <f>HYPERLINK("[N Only Old retention.xlsx]'Lake P Results'!R148", 53.7)</f>
        <v>53.7</v>
      </c>
      <c r="BG152" s="18"/>
      <c r="BH152" s="18"/>
      <c r="BI152" s="47">
        <f>BG152-BF152</f>
        <v>-53.7</v>
      </c>
      <c r="BJ152" s="47">
        <f>BH152-BF152</f>
        <v>-53.7</v>
      </c>
      <c r="BK152" s="27">
        <f>HYPERLINK("[N Only Old retention.xlsx]'Lake P Results'!Q148", 93.696)</f>
        <v>93.695999999999998</v>
      </c>
      <c r="BL152" s="27">
        <f>HYPERLINK("[N Only New retention.xlsx]'Lake P Results'!Q148", 45.576)</f>
        <v>45.576000000000001</v>
      </c>
      <c r="BM152" s="27">
        <f>HYPERLINK("[N Only with New retention and Differentiation.xlsx]'Lake P Results'!Q148", 61.416)</f>
        <v>61.415999999999997</v>
      </c>
      <c r="BN152" s="47">
        <f>BL152-BK152</f>
        <v>-48.12</v>
      </c>
      <c r="BO152" s="47">
        <f>BM152-BK152</f>
        <v>-32.28</v>
      </c>
    </row>
    <row r="153" spans="1:67" x14ac:dyDescent="0.55000000000000004">
      <c r="A153" s="31">
        <v>443</v>
      </c>
      <c r="B153" s="5" t="s">
        <v>462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29">
        <f>HYPERLINK("[N Only Old retention.xlsx]'Lake P Results'!O149", 16.15)</f>
        <v>16.149999999999999</v>
      </c>
      <c r="BB153" s="29">
        <f>HYPERLINK("[N Only New retention.xlsx]'Lake P Results'!O149", 4.86)</f>
        <v>4.8600000000000003</v>
      </c>
      <c r="BC153" s="29">
        <f>HYPERLINK("[N Only with New retention and Differentiation.xlsx]'Lake P Results'!O149", 4.86)</f>
        <v>4.8600000000000003</v>
      </c>
      <c r="BD153" s="47">
        <f>BB153-BA153</f>
        <v>-11.29</v>
      </c>
      <c r="BE153" s="47">
        <f>BC153-BA153</f>
        <v>-11.29</v>
      </c>
      <c r="BF153" s="29">
        <f>HYPERLINK("[N Only Old retention.xlsx]'Lake P Results'!R149", 3.41)</f>
        <v>3.41</v>
      </c>
      <c r="BG153" s="29">
        <f>HYPERLINK("[N Only New retention.xlsx]'Lake P Results'!R149", 38.17)</f>
        <v>38.17</v>
      </c>
      <c r="BH153" s="29">
        <f>HYPERLINK("[N Only with New retention and Differentiation.xlsx]'Lake P Results'!R149", 40.83)</f>
        <v>40.83</v>
      </c>
      <c r="BI153" s="46">
        <f>BG153-BF153</f>
        <v>34.760000000000005</v>
      </c>
      <c r="BJ153" s="46">
        <f>BH153-BF153</f>
        <v>37.42</v>
      </c>
      <c r="BK153" s="29">
        <f>HYPERLINK("[N Only Old retention.xlsx]'Lake P Results'!Q149", 2.59)</f>
        <v>2.59</v>
      </c>
      <c r="BL153" s="29">
        <f>HYPERLINK("[N Only New retention.xlsx]'Lake P Results'!Q149", 3.25)</f>
        <v>3.25</v>
      </c>
      <c r="BM153" s="29">
        <f>HYPERLINK("[N Only with New retention and Differentiation.xlsx]'Lake P Results'!Q149", 3.25)</f>
        <v>3.25</v>
      </c>
      <c r="BN153" s="46">
        <f>BL153-BK153</f>
        <v>0.66000000000000014</v>
      </c>
      <c r="BO153" s="46">
        <f>BM153-BK153</f>
        <v>0.66000000000000014</v>
      </c>
    </row>
    <row r="154" spans="1:67" x14ac:dyDescent="0.55000000000000004">
      <c r="A154" s="30">
        <v>444</v>
      </c>
      <c r="B154" s="6" t="s">
        <v>463</v>
      </c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27">
        <f>HYPERLINK("[N Only Old retention.xlsx]'Lake P Results'!O150", 810.238)</f>
        <v>810.23800000000006</v>
      </c>
      <c r="BB154" s="27">
        <f>HYPERLINK("[N Only New retention.xlsx]'Lake P Results'!O150", 771.678)</f>
        <v>771.678</v>
      </c>
      <c r="BC154" s="27">
        <f>HYPERLINK("[N Only with New retention and Differentiation.xlsx]'Lake P Results'!O150", 742.598)</f>
        <v>742.59799999999996</v>
      </c>
      <c r="BD154" s="47">
        <f>BB154-BA154</f>
        <v>-38.560000000000059</v>
      </c>
      <c r="BE154" s="47">
        <f>BC154-BA154</f>
        <v>-67.6400000000001</v>
      </c>
      <c r="BF154" s="27">
        <f>HYPERLINK("[N Only Old retention.xlsx]'Lake P Results'!R150", 14.154)</f>
        <v>14.154</v>
      </c>
      <c r="BG154" s="27">
        <f>HYPERLINK("[N Only New retention.xlsx]'Lake P Results'!R150", 47.892)</f>
        <v>47.892000000000003</v>
      </c>
      <c r="BH154" s="27">
        <f>HYPERLINK("[N Only with New retention and Differentiation.xlsx]'Lake P Results'!R150", 48.142)</f>
        <v>48.142000000000003</v>
      </c>
      <c r="BI154" s="46">
        <f>BG154-BF154</f>
        <v>33.738</v>
      </c>
      <c r="BJ154" s="46">
        <f>BH154-BF154</f>
        <v>33.988</v>
      </c>
      <c r="BK154" s="27">
        <f>HYPERLINK("[N Only Old retention.xlsx]'Lake P Results'!Q150", 89.4868713692946)</f>
        <v>89.486871369294605</v>
      </c>
      <c r="BL154" s="27">
        <f>HYPERLINK("[N Only New retention.xlsx]'Lake P Results'!Q150", 110.806871369276)</f>
        <v>110.806871369276</v>
      </c>
      <c r="BM154" s="27">
        <f>HYPERLINK("[N Only with New retention and Differentiation.xlsx]'Lake P Results'!Q150", 115.696871369295)</f>
        <v>115.696871369295</v>
      </c>
      <c r="BN154" s="46">
        <f>BL154-BK154</f>
        <v>21.319999999981391</v>
      </c>
      <c r="BO154" s="46">
        <f>BM154-BK154</f>
        <v>26.210000000000392</v>
      </c>
    </row>
    <row r="155" spans="1:67" x14ac:dyDescent="0.55000000000000004">
      <c r="A155" s="31">
        <v>446</v>
      </c>
      <c r="B155" s="5" t="s">
        <v>464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29">
        <f>HYPERLINK("[N Only Old retention.xlsx]'Lake P Results'!M151", 206.522)</f>
        <v>206.52199999999999</v>
      </c>
      <c r="AW155" s="29">
        <f>HYPERLINK("[N Only New retention.xlsx]'Lake P Results'!M151", 107.102)</f>
        <v>107.102</v>
      </c>
      <c r="AX155" s="29">
        <f>HYPERLINK("[N Only with New retention and Differentiation.xlsx]'Lake P Results'!M151", 106.658)</f>
        <v>106.658</v>
      </c>
      <c r="AY155" s="47">
        <f>AW155-AV155</f>
        <v>-99.419999999999987</v>
      </c>
      <c r="AZ155" s="47">
        <f>AX155-AV155</f>
        <v>-99.86399999999999</v>
      </c>
      <c r="BA155" s="29">
        <f>HYPERLINK("[N Only Old retention.xlsx]'Lake P Results'!O151", 68.312)</f>
        <v>68.311999999999998</v>
      </c>
      <c r="BB155" s="29">
        <f>HYPERLINK("[N Only New retention.xlsx]'Lake P Results'!O151", 29.57)</f>
        <v>29.57</v>
      </c>
      <c r="BC155" s="29">
        <f>HYPERLINK("[N Only with New retention and Differentiation.xlsx]'Lake P Results'!O151", 29.57)</f>
        <v>29.57</v>
      </c>
      <c r="BD155" s="47">
        <f>BB155-BA155</f>
        <v>-38.741999999999997</v>
      </c>
      <c r="BE155" s="47">
        <f>BC155-BA155</f>
        <v>-38.741999999999997</v>
      </c>
      <c r="BF155" s="13"/>
      <c r="BG155" s="13"/>
      <c r="BH155" s="13"/>
      <c r="BI155" s="13"/>
      <c r="BJ155" s="13"/>
      <c r="BK155" s="29">
        <f>HYPERLINK("[N Only Old retention.xlsx]'Lake P Results'!Q151", 22.72)</f>
        <v>22.72</v>
      </c>
      <c r="BL155" s="29">
        <f>HYPERLINK("[N Only New retention.xlsx]'Lake P Results'!Q151", 22.0099999999772)</f>
        <v>22.0099999999772</v>
      </c>
      <c r="BM155" s="29">
        <f>HYPERLINK("[N Only with New retention and Differentiation.xlsx]'Lake P Results'!Q151", 22.01)</f>
        <v>22.01</v>
      </c>
      <c r="BN155" s="47">
        <f>BL155-BK155</f>
        <v>-0.71000000002279862</v>
      </c>
      <c r="BO155" s="47">
        <f>BM155-BK155</f>
        <v>-0.7099999999999973</v>
      </c>
    </row>
    <row r="156" spans="1:67" x14ac:dyDescent="0.55000000000000004">
      <c r="A156" s="30">
        <v>447</v>
      </c>
      <c r="B156" s="6" t="s">
        <v>465</v>
      </c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27">
        <f>HYPERLINK("[N Only Old retention.xlsx]'Lake P Results'!Q152", 0.0900000000000001)</f>
        <v>9.0000000000000094E-2</v>
      </c>
      <c r="BL156" s="27">
        <f>HYPERLINK("[N Only New retention.xlsx]'Lake P Results'!Q152", 0.0900000000000001)</f>
        <v>9.0000000000000094E-2</v>
      </c>
      <c r="BM156" s="27">
        <f>HYPERLINK("[N Only with New retention and Differentiation.xlsx]'Lake P Results'!Q152", 0.0900000000000001)</f>
        <v>9.0000000000000094E-2</v>
      </c>
      <c r="BN156" s="18"/>
      <c r="BO156" s="18"/>
    </row>
    <row r="157" spans="1:67" x14ac:dyDescent="0.55000000000000004">
      <c r="A157" s="31">
        <v>448</v>
      </c>
      <c r="B157" s="5" t="s">
        <v>466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</row>
    <row r="158" spans="1:67" x14ac:dyDescent="0.55000000000000004">
      <c r="A158" s="30">
        <v>450</v>
      </c>
      <c r="B158" s="6" t="s">
        <v>467</v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</row>
    <row r="159" spans="1:67" x14ac:dyDescent="0.55000000000000004">
      <c r="A159" s="31">
        <v>451</v>
      </c>
      <c r="B159" s="5" t="s">
        <v>468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</row>
    <row r="160" spans="1:67" x14ac:dyDescent="0.55000000000000004">
      <c r="A160" s="30">
        <v>453</v>
      </c>
      <c r="B160" s="6" t="s">
        <v>469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27">
        <f>HYPERLINK("[N Only Old retention.xlsx]'Lake P Results'!Q156", 0.164)</f>
        <v>0.16400000000000001</v>
      </c>
      <c r="BL160" s="27">
        <f>HYPERLINK("[N Only New retention.xlsx]'Lake P Results'!Q156", 0.164)</f>
        <v>0.16400000000000001</v>
      </c>
      <c r="BM160" s="27">
        <f>HYPERLINK("[N Only with New retention and Differentiation.xlsx]'Lake P Results'!Q156", 0.164)</f>
        <v>0.16400000000000001</v>
      </c>
      <c r="BN160" s="18"/>
      <c r="BO160" s="18"/>
    </row>
    <row r="161" spans="1:67" x14ac:dyDescent="0.55000000000000004">
      <c r="A161" s="31">
        <v>455</v>
      </c>
      <c r="B161" s="5" t="s">
        <v>470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</row>
    <row r="162" spans="1:67" x14ac:dyDescent="0.55000000000000004">
      <c r="A162" s="30">
        <v>456</v>
      </c>
      <c r="B162" s="6" t="s">
        <v>471</v>
      </c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27">
        <f>HYPERLINK("[N Only Old retention.xlsx]'Lake P Results'!M158", 181.599999999919)</f>
        <v>181.59999999991899</v>
      </c>
      <c r="AW162" s="27">
        <f>HYPERLINK("[N Only New retention.xlsx]'Lake P Results'!M158", 1197.762)</f>
        <v>1197.7619999999999</v>
      </c>
      <c r="AX162" s="27">
        <f>HYPERLINK("[N Only with New retention and Differentiation.xlsx]'Lake P Results'!M158", 1196.75)</f>
        <v>1196.75</v>
      </c>
      <c r="AY162" s="46">
        <f>AW162-AV162</f>
        <v>1016.162000000081</v>
      </c>
      <c r="AZ162" s="46">
        <f>AX162-AV162</f>
        <v>1015.150000000081</v>
      </c>
      <c r="BA162" s="27">
        <f>HYPERLINK("[N Only Old retention.xlsx]'Lake P Results'!O158", 22.06)</f>
        <v>22.06</v>
      </c>
      <c r="BB162" s="27">
        <f>HYPERLINK("[N Only New retention.xlsx]'Lake P Results'!O158", 241.466492797789)</f>
        <v>241.46649279778899</v>
      </c>
      <c r="BC162" s="27">
        <f>HYPERLINK("[N Only with New retention and Differentiation.xlsx]'Lake P Results'!O158", 243.326492797789)</f>
        <v>243.326492797789</v>
      </c>
      <c r="BD162" s="46">
        <f>BB162-BA162</f>
        <v>219.40649279778899</v>
      </c>
      <c r="BE162" s="46">
        <f>BC162-BA162</f>
        <v>221.266492797789</v>
      </c>
      <c r="BF162" s="27">
        <f>HYPERLINK("[N Only Old retention.xlsx]'Lake P Results'!R158", 0.236)</f>
        <v>0.23599999999999999</v>
      </c>
      <c r="BG162" s="18"/>
      <c r="BH162" s="18"/>
      <c r="BI162" s="47">
        <f>BG162-BF162</f>
        <v>-0.23599999999999999</v>
      </c>
      <c r="BJ162" s="47">
        <f>BH162-BF162</f>
        <v>-0.23599999999999999</v>
      </c>
      <c r="BK162" s="27">
        <f>HYPERLINK("[N Only Old retention.xlsx]'Lake P Results'!Q158", 49.7115094339162)</f>
        <v>49.711509433916198</v>
      </c>
      <c r="BL162" s="27">
        <f>HYPERLINK("[N Only New retention.xlsx]'Lake P Results'!Q158", 100.582)</f>
        <v>100.58199999999999</v>
      </c>
      <c r="BM162" s="27">
        <f>HYPERLINK("[N Only with New retention and Differentiation.xlsx]'Lake P Results'!Q158", 100.582)</f>
        <v>100.58199999999999</v>
      </c>
      <c r="BN162" s="46">
        <f>BL162-BK162</f>
        <v>50.870490566083795</v>
      </c>
      <c r="BO162" s="46">
        <f>BM162-BK162</f>
        <v>50.870490566083795</v>
      </c>
    </row>
    <row r="163" spans="1:67" x14ac:dyDescent="0.55000000000000004">
      <c r="A163" s="31">
        <v>458</v>
      </c>
      <c r="B163" s="5" t="s">
        <v>472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29">
        <f>HYPERLINK("[N Only Old retention.xlsx]'Lake P Results'!Q159", 0.42)</f>
        <v>0.42</v>
      </c>
      <c r="BL163" s="29">
        <f>HYPERLINK("[N Only New retention.xlsx]'Lake P Results'!Q159", 0.42)</f>
        <v>0.42</v>
      </c>
      <c r="BM163" s="29">
        <f>HYPERLINK("[N Only with New retention and Differentiation.xlsx]'Lake P Results'!Q159", 0.42)</f>
        <v>0.42</v>
      </c>
      <c r="BN163" s="13"/>
      <c r="BO163" s="13"/>
    </row>
    <row r="164" spans="1:67" x14ac:dyDescent="0.55000000000000004">
      <c r="A164" s="30">
        <v>461</v>
      </c>
      <c r="B164" s="6" t="s">
        <v>473</v>
      </c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</row>
    <row r="165" spans="1:67" x14ac:dyDescent="0.55000000000000004">
      <c r="A165" s="31">
        <v>462</v>
      </c>
      <c r="B165" s="5" t="s">
        <v>474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</row>
    <row r="166" spans="1:67" x14ac:dyDescent="0.55000000000000004">
      <c r="A166" s="30">
        <v>469</v>
      </c>
      <c r="B166" s="6" t="s">
        <v>475</v>
      </c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27">
        <f>HYPERLINK("[N Only Old retention.xlsx]'Lake P Results'!M162", 78.5179999999332)</f>
        <v>78.517999999933195</v>
      </c>
      <c r="AW166" s="27">
        <f>HYPERLINK("[N Only New retention.xlsx]'Lake P Results'!M162", 163.748)</f>
        <v>163.74799999999999</v>
      </c>
      <c r="AX166" s="27">
        <f>HYPERLINK("[N Only with New retention and Differentiation.xlsx]'Lake P Results'!M162", 163.748)</f>
        <v>163.74799999999999</v>
      </c>
      <c r="AY166" s="46">
        <f>AW166-AV166</f>
        <v>85.230000000066795</v>
      </c>
      <c r="AZ166" s="46">
        <f>AX166-AV166</f>
        <v>85.230000000066795</v>
      </c>
      <c r="BA166" s="27">
        <f>HYPERLINK("[N Only Old retention.xlsx]'Lake P Results'!O162", 1.23)</f>
        <v>1.23</v>
      </c>
      <c r="BB166" s="27">
        <f>HYPERLINK("[N Only New retention.xlsx]'Lake P Results'!O162", 8.24)</f>
        <v>8.24</v>
      </c>
      <c r="BC166" s="27">
        <f>HYPERLINK("[N Only with New retention and Differentiation.xlsx]'Lake P Results'!O162", 8.24)</f>
        <v>8.24</v>
      </c>
      <c r="BD166" s="46">
        <f>BB166-BA166</f>
        <v>7.01</v>
      </c>
      <c r="BE166" s="46">
        <f>BC166-BA166</f>
        <v>7.01</v>
      </c>
      <c r="BF166" s="18"/>
      <c r="BG166" s="18"/>
      <c r="BH166" s="18"/>
      <c r="BI166" s="18"/>
      <c r="BJ166" s="18"/>
      <c r="BK166" s="27">
        <f>HYPERLINK("[N Only Old retention.xlsx]'Lake P Results'!Q162", 4.32160054719562)</f>
        <v>4.3216005471956196</v>
      </c>
      <c r="BL166" s="27">
        <f>HYPERLINK("[N Only New retention.xlsx]'Lake P Results'!Q162", 3.98160054719562)</f>
        <v>3.9816005471956202</v>
      </c>
      <c r="BM166" s="27">
        <f>HYPERLINK("[N Only with New retention and Differentiation.xlsx]'Lake P Results'!Q162", 3.98160054719562)</f>
        <v>3.9816005471956202</v>
      </c>
      <c r="BN166" s="47">
        <f>BL166-BK166</f>
        <v>-0.33999999999999941</v>
      </c>
      <c r="BO166" s="47">
        <f>BM166-BK166</f>
        <v>-0.33999999999999941</v>
      </c>
    </row>
    <row r="167" spans="1:67" x14ac:dyDescent="0.55000000000000004">
      <c r="A167" s="31">
        <v>470</v>
      </c>
      <c r="B167" s="5" t="s">
        <v>476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29">
        <f>HYPERLINK("[N Only Old retention.xlsx]'Lake P Results'!Q163", 0.0599999999999999)</f>
        <v>5.9999999999999901E-2</v>
      </c>
      <c r="BL167" s="13"/>
      <c r="BM167" s="13"/>
      <c r="BN167" s="47">
        <f>BL167-BK167</f>
        <v>-5.9999999999999901E-2</v>
      </c>
      <c r="BO167" s="47">
        <f>BM167-BK167</f>
        <v>-5.9999999999999901E-2</v>
      </c>
    </row>
    <row r="168" spans="1:67" x14ac:dyDescent="0.55000000000000004">
      <c r="A168" s="30">
        <v>471</v>
      </c>
      <c r="B168" s="6" t="s">
        <v>477</v>
      </c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</row>
    <row r="169" spans="1:67" x14ac:dyDescent="0.55000000000000004">
      <c r="A169" s="31">
        <v>472</v>
      </c>
      <c r="B169" s="5" t="s">
        <v>478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29">
        <f>HYPERLINK("[N Only Old retention.xlsx]'Lake P Results'!M165", 3.02)</f>
        <v>3.02</v>
      </c>
      <c r="AW169" s="29">
        <f>HYPERLINK("[N Only New retention.xlsx]'Lake P Results'!M165", 50.01)</f>
        <v>50.01</v>
      </c>
      <c r="AX169" s="29">
        <f>HYPERLINK("[N Only with New retention and Differentiation.xlsx]'Lake P Results'!M165", 50.01)</f>
        <v>50.01</v>
      </c>
      <c r="AY169" s="46">
        <f>AW169-AV169</f>
        <v>46.989999999999995</v>
      </c>
      <c r="AZ169" s="46">
        <f>AX169-AV169</f>
        <v>46.989999999999995</v>
      </c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29">
        <f>HYPERLINK("[N Only Old retention.xlsx]'Lake P Results'!Q165", 0.330000000000001)</f>
        <v>0.33000000000000101</v>
      </c>
      <c r="BL169" s="29">
        <f>HYPERLINK("[N Only New retention.xlsx]'Lake P Results'!Q165", 0.7)</f>
        <v>0.7</v>
      </c>
      <c r="BM169" s="29">
        <f>HYPERLINK("[N Only with New retention and Differentiation.xlsx]'Lake P Results'!Q165", 0.7)</f>
        <v>0.7</v>
      </c>
      <c r="BN169" s="46">
        <f>BL169-BK169</f>
        <v>0.36999999999999894</v>
      </c>
      <c r="BO169" s="46">
        <f>BM169-BK169</f>
        <v>0.36999999999999894</v>
      </c>
    </row>
    <row r="170" spans="1:67" x14ac:dyDescent="0.55000000000000004">
      <c r="A170" s="30">
        <v>473</v>
      </c>
      <c r="B170" s="6" t="s">
        <v>479</v>
      </c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27">
        <f>HYPERLINK("[N Only Old retention.xlsx]'Lake P Results'!M166", 72.042)</f>
        <v>72.042000000000002</v>
      </c>
      <c r="AW170" s="27">
        <f>HYPERLINK("[N Only New retention.xlsx]'Lake P Results'!M166", 13.988)</f>
        <v>13.988</v>
      </c>
      <c r="AX170" s="27">
        <f>HYPERLINK("[N Only with New retention and Differentiation.xlsx]'Lake P Results'!M166", 13.988)</f>
        <v>13.988</v>
      </c>
      <c r="AY170" s="47">
        <f>AW170-AV170</f>
        <v>-58.054000000000002</v>
      </c>
      <c r="AZ170" s="47">
        <f>AX170-AV170</f>
        <v>-58.054000000000002</v>
      </c>
      <c r="BA170" s="27">
        <f>HYPERLINK("[N Only Old retention.xlsx]'Lake P Results'!O166", 58.31)</f>
        <v>58.31</v>
      </c>
      <c r="BB170" s="27">
        <f>HYPERLINK("[N Only New retention.xlsx]'Lake P Results'!O166", 25.47)</f>
        <v>25.47</v>
      </c>
      <c r="BC170" s="27">
        <f>HYPERLINK("[N Only with New retention and Differentiation.xlsx]'Lake P Results'!O166", 25.47)</f>
        <v>25.47</v>
      </c>
      <c r="BD170" s="47">
        <f>BB170-BA170</f>
        <v>-32.840000000000003</v>
      </c>
      <c r="BE170" s="47">
        <f>BC170-BA170</f>
        <v>-32.840000000000003</v>
      </c>
      <c r="BF170" s="18"/>
      <c r="BG170" s="18"/>
      <c r="BH170" s="18"/>
      <c r="BI170" s="18"/>
      <c r="BJ170" s="18"/>
      <c r="BK170" s="27">
        <f>HYPERLINK("[N Only Old retention.xlsx]'Lake P Results'!Q166", 6.05)</f>
        <v>6.05</v>
      </c>
      <c r="BL170" s="27">
        <f>HYPERLINK("[N Only New retention.xlsx]'Lake P Results'!Q166", 5.94)</f>
        <v>5.94</v>
      </c>
      <c r="BM170" s="27">
        <f>HYPERLINK("[N Only with New retention and Differentiation.xlsx]'Lake P Results'!Q166", 5.94)</f>
        <v>5.94</v>
      </c>
      <c r="BN170" s="47">
        <f>BL170-BK170</f>
        <v>-0.10999999999999943</v>
      </c>
      <c r="BO170" s="47">
        <f>BM170-BK170</f>
        <v>-0.10999999999999943</v>
      </c>
    </row>
    <row r="171" spans="1:67" x14ac:dyDescent="0.55000000000000004">
      <c r="A171" s="31">
        <v>474</v>
      </c>
      <c r="B171" s="5" t="s">
        <v>480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</row>
    <row r="172" spans="1:67" x14ac:dyDescent="0.55000000000000004">
      <c r="A172" s="30">
        <v>475</v>
      </c>
      <c r="B172" s="6" t="s">
        <v>481</v>
      </c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</row>
    <row r="173" spans="1:67" x14ac:dyDescent="0.55000000000000004">
      <c r="A173" s="31">
        <v>477</v>
      </c>
      <c r="B173" s="5" t="s">
        <v>482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</row>
    <row r="174" spans="1:67" x14ac:dyDescent="0.55000000000000004">
      <c r="A174" s="30">
        <v>478</v>
      </c>
      <c r="B174" s="6" t="s">
        <v>483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27">
        <f>HYPERLINK("[N Only Old retention.xlsx]'Lake P Results'!M170", 28.42)</f>
        <v>28.42</v>
      </c>
      <c r="AW174" s="18"/>
      <c r="AX174" s="18"/>
      <c r="AY174" s="47">
        <f>AW174-AV174</f>
        <v>-28.42</v>
      </c>
      <c r="AZ174" s="47">
        <f>AX174-AV174</f>
        <v>-28.42</v>
      </c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27">
        <f>HYPERLINK("[N Only Old retention.xlsx]'Lake P Results'!Q170", 2.93)</f>
        <v>2.93</v>
      </c>
      <c r="BL174" s="27">
        <f>HYPERLINK("[N Only New retention.xlsx]'Lake P Results'!Q170", 4.81)</f>
        <v>4.8099999999999996</v>
      </c>
      <c r="BM174" s="27">
        <f>HYPERLINK("[N Only with New retention and Differentiation.xlsx]'Lake P Results'!Q170", 4.81)</f>
        <v>4.8099999999999996</v>
      </c>
      <c r="BN174" s="46">
        <f>BL174-BK174</f>
        <v>1.8799999999999994</v>
      </c>
      <c r="BO174" s="46">
        <f>BM174-BK174</f>
        <v>1.8799999999999994</v>
      </c>
    </row>
    <row r="175" spans="1:67" x14ac:dyDescent="0.55000000000000004">
      <c r="A175" s="31">
        <v>480</v>
      </c>
      <c r="B175" s="5" t="s">
        <v>484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</row>
    <row r="176" spans="1:67" x14ac:dyDescent="0.55000000000000004">
      <c r="A176" s="30">
        <v>482</v>
      </c>
      <c r="B176" s="6" t="s">
        <v>485</v>
      </c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27">
        <f>HYPERLINK("[N Only Old retention.xlsx]'Lake P Results'!M172", 6.03)</f>
        <v>6.03</v>
      </c>
      <c r="AW176" s="18"/>
      <c r="AX176" s="18"/>
      <c r="AY176" s="47">
        <f>AW176-AV176</f>
        <v>-6.03</v>
      </c>
      <c r="AZ176" s="47">
        <f>AX176-AV176</f>
        <v>-6.03</v>
      </c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27">
        <f>HYPERLINK("[N Only Old retention.xlsx]'Lake P Results'!Q172", 0.43)</f>
        <v>0.43</v>
      </c>
      <c r="BL176" s="18"/>
      <c r="BM176" s="18"/>
      <c r="BN176" s="47">
        <f>BL176-BK176</f>
        <v>-0.43</v>
      </c>
      <c r="BO176" s="47">
        <f>BM176-BK176</f>
        <v>-0.43</v>
      </c>
    </row>
    <row r="177" spans="1:67" x14ac:dyDescent="0.55000000000000004">
      <c r="A177" s="31">
        <v>483</v>
      </c>
      <c r="B177" s="5" t="s">
        <v>486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</row>
    <row r="178" spans="1:67" x14ac:dyDescent="0.55000000000000004">
      <c r="A178" s="30">
        <v>486</v>
      </c>
      <c r="B178" s="6" t="s">
        <v>487</v>
      </c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</row>
    <row r="179" spans="1:67" x14ac:dyDescent="0.55000000000000004">
      <c r="A179" s="31">
        <v>487</v>
      </c>
      <c r="B179" s="5" t="s">
        <v>488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</row>
    <row r="180" spans="1:67" x14ac:dyDescent="0.55000000000000004">
      <c r="A180" s="30">
        <v>488</v>
      </c>
      <c r="B180" s="6" t="s">
        <v>489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</row>
    <row r="181" spans="1:67" x14ac:dyDescent="0.55000000000000004">
      <c r="A181" s="31">
        <v>489</v>
      </c>
      <c r="B181" s="5" t="s">
        <v>490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</row>
    <row r="182" spans="1:67" x14ac:dyDescent="0.55000000000000004">
      <c r="A182" s="30">
        <v>490</v>
      </c>
      <c r="B182" s="6" t="s">
        <v>491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</row>
    <row r="183" spans="1:67" x14ac:dyDescent="0.55000000000000004">
      <c r="A183" s="31">
        <v>491</v>
      </c>
      <c r="B183" s="5" t="s">
        <v>492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</row>
    <row r="184" spans="1:67" x14ac:dyDescent="0.55000000000000004">
      <c r="A184" s="30">
        <v>495</v>
      </c>
      <c r="B184" s="6" t="s">
        <v>493</v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27">
        <f>HYPERLINK("[N Only Old retention.xlsx]'Lake P Results'!M180", 20.4679999998262)</f>
        <v>20.467999999826201</v>
      </c>
      <c r="AW184" s="18"/>
      <c r="AX184" s="18"/>
      <c r="AY184" s="47">
        <f>AW184-AV184</f>
        <v>-20.467999999826201</v>
      </c>
      <c r="AZ184" s="47">
        <f>AX184-AV184</f>
        <v>-20.467999999826201</v>
      </c>
      <c r="BA184" s="27">
        <f>HYPERLINK("[N Only Old retention.xlsx]'Lake P Results'!O180", 1.65)</f>
        <v>1.65</v>
      </c>
      <c r="BB184" s="18"/>
      <c r="BC184" s="18"/>
      <c r="BD184" s="47">
        <f>BB184-BA184</f>
        <v>-1.65</v>
      </c>
      <c r="BE184" s="47">
        <f>BC184-BA184</f>
        <v>-1.65</v>
      </c>
      <c r="BF184" s="18"/>
      <c r="BG184" s="18"/>
      <c r="BH184" s="18"/>
      <c r="BI184" s="18"/>
      <c r="BJ184" s="18"/>
      <c r="BK184" s="27">
        <f>HYPERLINK("[N Only Old retention.xlsx]'Lake P Results'!Q180", 8.552)</f>
        <v>8.5519999999999996</v>
      </c>
      <c r="BL184" s="18"/>
      <c r="BM184" s="18"/>
      <c r="BN184" s="47">
        <f>BL184-BK184</f>
        <v>-8.5519999999999996</v>
      </c>
      <c r="BO184" s="47">
        <f>BM184-BK184</f>
        <v>-8.5519999999999996</v>
      </c>
    </row>
    <row r="185" spans="1:67" x14ac:dyDescent="0.55000000000000004">
      <c r="A185" s="31">
        <v>496</v>
      </c>
      <c r="B185" s="5" t="s">
        <v>494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29">
        <f>HYPERLINK("[N Only Old retention.xlsx]'Lake P Results'!M181", 103.689999999949)</f>
        <v>103.68999999994899</v>
      </c>
      <c r="AW185" s="29">
        <f>HYPERLINK("[N Only New retention.xlsx]'Lake P Results'!M181", 127.97)</f>
        <v>127.97</v>
      </c>
      <c r="AX185" s="29">
        <f>HYPERLINK("[N Only with New retention and Differentiation.xlsx]'Lake P Results'!M181", 127.97)</f>
        <v>127.97</v>
      </c>
      <c r="AY185" s="46">
        <f>AW185-AV185</f>
        <v>24.280000000051004</v>
      </c>
      <c r="AZ185" s="46">
        <f>AX185-AV185</f>
        <v>24.280000000051004</v>
      </c>
      <c r="BA185" s="13"/>
      <c r="BB185" s="29">
        <f>HYPERLINK("[N Only New retention.xlsx]'Lake P Results'!O181", 14.05)</f>
        <v>14.05</v>
      </c>
      <c r="BC185" s="29">
        <f>HYPERLINK("[N Only with New retention and Differentiation.xlsx]'Lake P Results'!O181", 14.05)</f>
        <v>14.05</v>
      </c>
      <c r="BD185" s="46">
        <f>BB185-BA185</f>
        <v>14.05</v>
      </c>
      <c r="BE185" s="46">
        <f>BC185-BA185</f>
        <v>14.05</v>
      </c>
      <c r="BF185" s="13"/>
      <c r="BG185" s="13"/>
      <c r="BH185" s="13"/>
      <c r="BI185" s="13"/>
      <c r="BJ185" s="13"/>
      <c r="BK185" s="29">
        <f>HYPERLINK("[N Only Old retention.xlsx]'Lake P Results'!Q181", 9.82)</f>
        <v>9.82</v>
      </c>
      <c r="BL185" s="29">
        <f>HYPERLINK("[N Only New retention.xlsx]'Lake P Results'!Q181", 8.68)</f>
        <v>8.68</v>
      </c>
      <c r="BM185" s="29">
        <f>HYPERLINK("[N Only with New retention and Differentiation.xlsx]'Lake P Results'!Q181", 8.68)</f>
        <v>8.68</v>
      </c>
      <c r="BN185" s="47">
        <f>BL185-BK185</f>
        <v>-1.1400000000000006</v>
      </c>
      <c r="BO185" s="47">
        <f>BM185-BK185</f>
        <v>-1.1400000000000006</v>
      </c>
    </row>
    <row r="186" spans="1:67" x14ac:dyDescent="0.55000000000000004">
      <c r="A186" s="30">
        <v>497</v>
      </c>
      <c r="B186" s="6" t="s">
        <v>495</v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27">
        <f>HYPERLINK("[N Only Old retention.xlsx]'Lake P Results'!M182", 11.47)</f>
        <v>11.47</v>
      </c>
      <c r="AW186" s="27">
        <f>HYPERLINK("[N Only New retention.xlsx]'Lake P Results'!M182", 11.47)</f>
        <v>11.47</v>
      </c>
      <c r="AX186" s="27">
        <f>HYPERLINK("[N Only with New retention and Differentiation.xlsx]'Lake P Results'!M182", 11.47)</f>
        <v>11.47</v>
      </c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</row>
    <row r="187" spans="1:67" x14ac:dyDescent="0.55000000000000004">
      <c r="A187" s="31">
        <v>498</v>
      </c>
      <c r="B187" s="5" t="s">
        <v>496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</row>
    <row r="188" spans="1:67" x14ac:dyDescent="0.55000000000000004">
      <c r="A188" s="30">
        <v>499</v>
      </c>
      <c r="B188" s="6" t="s">
        <v>497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27">
        <f>HYPERLINK("[N Only Old retention.xlsx]'Lake P Results'!M184", 4.4)</f>
        <v>4.4000000000000004</v>
      </c>
      <c r="AW188" s="18"/>
      <c r="AX188" s="18"/>
      <c r="AY188" s="47">
        <f>AW188-AV188</f>
        <v>-4.4000000000000004</v>
      </c>
      <c r="AZ188" s="47">
        <f>AX188-AV188</f>
        <v>-4.4000000000000004</v>
      </c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</row>
    <row r="189" spans="1:67" x14ac:dyDescent="0.55000000000000004">
      <c r="A189" s="31">
        <v>501</v>
      </c>
      <c r="B189" s="5" t="s">
        <v>498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</row>
    <row r="190" spans="1:67" x14ac:dyDescent="0.55000000000000004">
      <c r="A190" s="30">
        <v>504</v>
      </c>
      <c r="B190" s="6" t="s">
        <v>499</v>
      </c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</row>
    <row r="191" spans="1:67" x14ac:dyDescent="0.55000000000000004">
      <c r="A191" s="31">
        <v>506</v>
      </c>
      <c r="B191" s="5" t="s">
        <v>500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</row>
    <row r="192" spans="1:67" x14ac:dyDescent="0.55000000000000004">
      <c r="A192" s="30">
        <v>508</v>
      </c>
      <c r="B192" s="6" t="s">
        <v>501</v>
      </c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</row>
    <row r="193" spans="1:67" x14ac:dyDescent="0.55000000000000004">
      <c r="A193" s="31">
        <v>510</v>
      </c>
      <c r="B193" s="5" t="s">
        <v>502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29">
        <f>HYPERLINK("[N Only Old retention.xlsx]'Lake P Results'!M189", 1.59)</f>
        <v>1.59</v>
      </c>
      <c r="AW193" s="13"/>
      <c r="AX193" s="13"/>
      <c r="AY193" s="47">
        <f>AW193-AV193</f>
        <v>-1.59</v>
      </c>
      <c r="AZ193" s="47">
        <f>AX193-AV193</f>
        <v>-1.59</v>
      </c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29">
        <f>HYPERLINK("[N Only Old retention.xlsx]'Lake P Results'!Q189", 1.84409357065302)</f>
        <v>1.8440935706530199</v>
      </c>
      <c r="BL193" s="29">
        <f>HYPERLINK("[N Only New retention.xlsx]'Lake P Results'!Q189", 3.40409357065302)</f>
        <v>3.40409357065302</v>
      </c>
      <c r="BM193" s="29">
        <f>HYPERLINK("[N Only with New retention and Differentiation.xlsx]'Lake P Results'!Q189", 3.40409357065302)</f>
        <v>3.40409357065302</v>
      </c>
      <c r="BN193" s="46">
        <f>BL193-BK193</f>
        <v>1.56</v>
      </c>
      <c r="BO193" s="46">
        <f>BM193-BK193</f>
        <v>1.56</v>
      </c>
    </row>
    <row r="194" spans="1:67" x14ac:dyDescent="0.55000000000000004">
      <c r="A194" s="30">
        <v>512</v>
      </c>
      <c r="B194" s="6" t="s">
        <v>503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</row>
    <row r="195" spans="1:67" x14ac:dyDescent="0.55000000000000004">
      <c r="A195" s="31">
        <v>513</v>
      </c>
      <c r="B195" s="5" t="s">
        <v>504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</row>
    <row r="196" spans="1:67" x14ac:dyDescent="0.55000000000000004">
      <c r="A196" s="30">
        <v>515</v>
      </c>
      <c r="B196" s="6" t="s">
        <v>505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</row>
    <row r="197" spans="1:67" x14ac:dyDescent="0.55000000000000004">
      <c r="A197" s="31">
        <v>516</v>
      </c>
      <c r="B197" s="5" t="s">
        <v>506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</row>
    <row r="198" spans="1:67" x14ac:dyDescent="0.55000000000000004">
      <c r="A198" s="30">
        <v>517</v>
      </c>
      <c r="B198" s="6" t="s">
        <v>507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</row>
    <row r="199" spans="1:67" x14ac:dyDescent="0.55000000000000004">
      <c r="A199" s="31">
        <v>520</v>
      </c>
      <c r="B199" s="5" t="s">
        <v>508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</row>
    <row r="200" spans="1:67" x14ac:dyDescent="0.55000000000000004">
      <c r="A200" s="30">
        <v>522</v>
      </c>
      <c r="B200" s="6" t="s">
        <v>509</v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27">
        <f>HYPERLINK("[N Only New retention.xlsx]'Lake P Results'!M196", 1.68)</f>
        <v>1.68</v>
      </c>
      <c r="AX200" s="27">
        <f>HYPERLINK("[N Only with New retention and Differentiation.xlsx]'Lake P Results'!M196", 1.68)</f>
        <v>1.68</v>
      </c>
      <c r="AY200" s="46">
        <f>AW200-AV200</f>
        <v>1.68</v>
      </c>
      <c r="AZ200" s="46">
        <f>AX200-AV200</f>
        <v>1.68</v>
      </c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27">
        <f>HYPERLINK("[N Only Old retention.xlsx]'Lake P Results'!Q196", 0.390000000000001)</f>
        <v>0.39000000000000101</v>
      </c>
      <c r="BL200" s="27">
        <f>HYPERLINK("[N Only New retention.xlsx]'Lake P Results'!Q196", 1.82)</f>
        <v>1.82</v>
      </c>
      <c r="BM200" s="27">
        <f>HYPERLINK("[N Only with New retention and Differentiation.xlsx]'Lake P Results'!Q196", 1.82)</f>
        <v>1.82</v>
      </c>
      <c r="BN200" s="46">
        <f>BL200-BK200</f>
        <v>1.429999999999999</v>
      </c>
      <c r="BO200" s="46">
        <f>BM200-BK200</f>
        <v>1.429999999999999</v>
      </c>
    </row>
    <row r="201" spans="1:67" x14ac:dyDescent="0.55000000000000004">
      <c r="A201" s="31">
        <v>526</v>
      </c>
      <c r="B201" s="5" t="s">
        <v>510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29">
        <f>HYPERLINK("[N Only Old retention.xlsx]'Lake P Results'!M197", 28.7559999999637)</f>
        <v>28.755999999963699</v>
      </c>
      <c r="AW201" s="13"/>
      <c r="AX201" s="13"/>
      <c r="AY201" s="47">
        <f>AW201-AV201</f>
        <v>-28.755999999963699</v>
      </c>
      <c r="AZ201" s="47">
        <f>AX201-AV201</f>
        <v>-28.755999999963699</v>
      </c>
      <c r="BA201" s="29">
        <f>HYPERLINK("[N Only Old retention.xlsx]'Lake P Results'!O197", 6.18)</f>
        <v>6.18</v>
      </c>
      <c r="BB201" s="13"/>
      <c r="BC201" s="13"/>
      <c r="BD201" s="47">
        <f>BB201-BA201</f>
        <v>-6.18</v>
      </c>
      <c r="BE201" s="47">
        <f>BC201-BA201</f>
        <v>-6.18</v>
      </c>
      <c r="BF201" s="13"/>
      <c r="BG201" s="13"/>
      <c r="BH201" s="13"/>
      <c r="BI201" s="13"/>
      <c r="BJ201" s="13"/>
      <c r="BK201" s="29">
        <f>HYPERLINK("[N Only Old retention.xlsx]'Lake P Results'!Q197", 0.550000000000001)</f>
        <v>0.55000000000000104</v>
      </c>
      <c r="BL201" s="29">
        <f>HYPERLINK("[N Only New retention.xlsx]'Lake P Results'!Q197", 0.550000000000001)</f>
        <v>0.55000000000000104</v>
      </c>
      <c r="BM201" s="29">
        <f>HYPERLINK("[N Only with New retention and Differentiation.xlsx]'Lake P Results'!Q197", 0.550000000000001)</f>
        <v>0.55000000000000104</v>
      </c>
      <c r="BN201" s="13"/>
      <c r="BO201" s="13"/>
    </row>
    <row r="202" spans="1:67" x14ac:dyDescent="0.55000000000000004">
      <c r="A202" s="30">
        <v>528</v>
      </c>
      <c r="B202" s="6" t="s">
        <v>511</v>
      </c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27">
        <f>HYPERLINK("[N Only Old retention.xlsx]'Lake P Results'!M198", 5.23)</f>
        <v>5.23</v>
      </c>
      <c r="AW202" s="18"/>
      <c r="AX202" s="18"/>
      <c r="AY202" s="47">
        <f>AW202-AV202</f>
        <v>-5.23</v>
      </c>
      <c r="AZ202" s="47">
        <f>AX202-AV202</f>
        <v>-5.23</v>
      </c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</row>
    <row r="203" spans="1:67" x14ac:dyDescent="0.55000000000000004">
      <c r="A203" s="31">
        <v>529</v>
      </c>
      <c r="B203" s="5" t="s">
        <v>512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29">
        <f>HYPERLINK("[N Only Old retention.xlsx]'Lake P Results'!Z199", 0.052)</f>
        <v>5.1999999999999998E-2</v>
      </c>
      <c r="AC203" s="13"/>
      <c r="AD203" s="13"/>
      <c r="AE203" s="47">
        <f>AC203-AB203</f>
        <v>-5.1999999999999998E-2</v>
      </c>
      <c r="AF203" s="47">
        <f>AD203-AB203</f>
        <v>-5.1999999999999998E-2</v>
      </c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29">
        <f>HYPERLINK("[N Only Old retention.xlsx]'Lake P Results'!M199", 2133.6279999999)</f>
        <v>2133.6279999999001</v>
      </c>
      <c r="AW203" s="29">
        <f>HYPERLINK("[N Only New retention.xlsx]'Lake P Results'!M199", 439.264)</f>
        <v>439.26400000000001</v>
      </c>
      <c r="AX203" s="29">
        <f>HYPERLINK("[N Only with New retention and Differentiation.xlsx]'Lake P Results'!M199", 426.934)</f>
        <v>426.93400000000003</v>
      </c>
      <c r="AY203" s="47">
        <f>AW203-AV203</f>
        <v>-1694.3639999999</v>
      </c>
      <c r="AZ203" s="47">
        <f>AX203-AV203</f>
        <v>-1706.6939999999001</v>
      </c>
      <c r="BA203" s="29">
        <f>HYPERLINK("[N Only Old retention.xlsx]'Lake P Results'!O199", 387.792)</f>
        <v>387.79199999999997</v>
      </c>
      <c r="BB203" s="29">
        <f>HYPERLINK("[N Only New retention.xlsx]'Lake P Results'!O199", 61.686)</f>
        <v>61.686</v>
      </c>
      <c r="BC203" s="29">
        <f>HYPERLINK("[N Only with New retention and Differentiation.xlsx]'Lake P Results'!O199", 68.032)</f>
        <v>68.031999999999996</v>
      </c>
      <c r="BD203" s="47">
        <f>BB203-BA203</f>
        <v>-326.10599999999999</v>
      </c>
      <c r="BE203" s="47">
        <f>BC203-BA203</f>
        <v>-319.76</v>
      </c>
      <c r="BF203" s="13"/>
      <c r="BG203" s="13"/>
      <c r="BH203" s="13"/>
      <c r="BI203" s="13"/>
      <c r="BJ203" s="13"/>
      <c r="BK203" s="29">
        <f>HYPERLINK("[N Only Old retention.xlsx]'Lake P Results'!Q199", 124.75322540824)</f>
        <v>124.75322540824</v>
      </c>
      <c r="BL203" s="29">
        <f>HYPERLINK("[N Only New retention.xlsx]'Lake P Results'!Q199", 139.365225408269)</f>
        <v>139.365225408269</v>
      </c>
      <c r="BM203" s="29">
        <f>HYPERLINK("[N Only with New retention and Differentiation.xlsx]'Lake P Results'!Q199", 141.255225408269)</f>
        <v>141.25522540826901</v>
      </c>
      <c r="BN203" s="46">
        <f>BL203-BK203</f>
        <v>14.612000000028999</v>
      </c>
      <c r="BO203" s="46">
        <f>BM203-BK203</f>
        <v>16.502000000029014</v>
      </c>
    </row>
    <row r="204" spans="1:67" x14ac:dyDescent="0.55000000000000004">
      <c r="A204" s="30">
        <v>531</v>
      </c>
      <c r="B204" s="6" t="s">
        <v>513</v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</row>
    <row r="205" spans="1:67" x14ac:dyDescent="0.55000000000000004">
      <c r="A205" s="31">
        <v>532</v>
      </c>
      <c r="B205" s="5" t="s">
        <v>514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</row>
    <row r="206" spans="1:67" x14ac:dyDescent="0.55000000000000004">
      <c r="A206" s="30">
        <v>534</v>
      </c>
      <c r="B206" s="6" t="s">
        <v>515</v>
      </c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27">
        <f>HYPERLINK("[N Only Old retention.xlsx]'Lake P Results'!Q202", 0.569999999999998)</f>
        <v>0.56999999999999795</v>
      </c>
      <c r="BL206" s="18"/>
      <c r="BM206" s="18"/>
      <c r="BN206" s="47">
        <f>BL206-BK206</f>
        <v>-0.56999999999999795</v>
      </c>
      <c r="BO206" s="47">
        <f>BM206-BK206</f>
        <v>-0.56999999999999795</v>
      </c>
    </row>
    <row r="207" spans="1:67" x14ac:dyDescent="0.55000000000000004">
      <c r="A207" s="31">
        <v>538</v>
      </c>
      <c r="B207" s="5" t="s">
        <v>516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29">
        <f>HYPERLINK("[N Only Old retention.xlsx]'Lake P Results'!Q203", 0.05)</f>
        <v>0.05</v>
      </c>
      <c r="BL207" s="29">
        <f>HYPERLINK("[N Only New retention.xlsx]'Lake P Results'!Q203", 0.05)</f>
        <v>0.05</v>
      </c>
      <c r="BM207" s="13"/>
      <c r="BN207" s="13"/>
      <c r="BO207" s="47">
        <f>BM207-BK207</f>
        <v>-0.05</v>
      </c>
    </row>
    <row r="208" spans="1:67" x14ac:dyDescent="0.55000000000000004">
      <c r="A208" s="30">
        <v>539</v>
      </c>
      <c r="B208" s="6" t="s">
        <v>517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27">
        <f>HYPERLINK("[N Only Old retention.xlsx]'Lake P Results'!M204", 69.58)</f>
        <v>69.58</v>
      </c>
      <c r="AW208" s="18"/>
      <c r="AX208" s="18"/>
      <c r="AY208" s="47">
        <f>AW208-AV208</f>
        <v>-69.58</v>
      </c>
      <c r="AZ208" s="47">
        <f>AX208-AV208</f>
        <v>-69.58</v>
      </c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27">
        <f>HYPERLINK("[N Only Old retention.xlsx]'Lake P Results'!Q204", 5.18)</f>
        <v>5.18</v>
      </c>
      <c r="BL208" s="27">
        <f>HYPERLINK("[N Only New retention.xlsx]'Lake P Results'!Q204", 5.28999999999096)</f>
        <v>5.2899999999909602</v>
      </c>
      <c r="BM208" s="27">
        <f>HYPERLINK("[N Only with New retention and Differentiation.xlsx]'Lake P Results'!Q204", 4.56)</f>
        <v>4.5599999999999996</v>
      </c>
      <c r="BN208" s="46">
        <f>BL208-BK208</f>
        <v>0.10999999999096044</v>
      </c>
      <c r="BO208" s="47">
        <f>BM208-BK208</f>
        <v>-0.62000000000000011</v>
      </c>
    </row>
    <row r="209" spans="1:67" x14ac:dyDescent="0.55000000000000004">
      <c r="A209" s="31">
        <v>541</v>
      </c>
      <c r="B209" s="5" t="s">
        <v>518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</row>
    <row r="210" spans="1:67" x14ac:dyDescent="0.55000000000000004">
      <c r="A210" s="30">
        <v>542</v>
      </c>
      <c r="B210" s="6" t="s">
        <v>519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</row>
    <row r="211" spans="1:67" x14ac:dyDescent="0.55000000000000004">
      <c r="A211" s="31">
        <v>543</v>
      </c>
      <c r="B211" s="5" t="s">
        <v>520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</row>
    <row r="212" spans="1:67" x14ac:dyDescent="0.55000000000000004">
      <c r="A212" s="30">
        <v>544</v>
      </c>
      <c r="B212" s="6" t="s">
        <v>521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27">
        <f>HYPERLINK("[N Only Old retention.xlsx]'Lake P Results'!M208", 4.69)</f>
        <v>4.6900000000000004</v>
      </c>
      <c r="AW212" s="18"/>
      <c r="AX212" s="18"/>
      <c r="AY212" s="47">
        <f>AW212-AV212</f>
        <v>-4.6900000000000004</v>
      </c>
      <c r="AZ212" s="47">
        <f>AX212-AV212</f>
        <v>-4.6900000000000004</v>
      </c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</row>
    <row r="213" spans="1:67" x14ac:dyDescent="0.55000000000000004">
      <c r="A213" s="31">
        <v>545</v>
      </c>
      <c r="B213" s="5" t="s">
        <v>522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</row>
    <row r="214" spans="1:67" x14ac:dyDescent="0.55000000000000004">
      <c r="A214" s="30">
        <v>546</v>
      </c>
      <c r="B214" s="6" t="s">
        <v>523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</row>
    <row r="215" spans="1:67" x14ac:dyDescent="0.55000000000000004">
      <c r="A215" s="31">
        <v>547</v>
      </c>
      <c r="B215" s="5" t="s">
        <v>524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</row>
    <row r="216" spans="1:67" x14ac:dyDescent="0.55000000000000004">
      <c r="A216" s="30">
        <v>548</v>
      </c>
      <c r="B216" s="6" t="s">
        <v>525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</row>
    <row r="217" spans="1:67" x14ac:dyDescent="0.55000000000000004">
      <c r="A217" s="31">
        <v>550</v>
      </c>
      <c r="B217" s="5" t="s">
        <v>526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29">
        <f>HYPERLINK("[N Only Old retention.xlsx]'Lake P Results'!Q213", 0.0899999999999997)</f>
        <v>8.9999999999999705E-2</v>
      </c>
      <c r="BL217" s="13"/>
      <c r="BM217" s="13"/>
      <c r="BN217" s="47">
        <f>BL217-BK217</f>
        <v>-8.9999999999999705E-2</v>
      </c>
      <c r="BO217" s="47">
        <f>BM217-BK217</f>
        <v>-8.9999999999999705E-2</v>
      </c>
    </row>
    <row r="218" spans="1:67" x14ac:dyDescent="0.55000000000000004">
      <c r="A218" s="30">
        <v>552</v>
      </c>
      <c r="B218" s="6" t="s">
        <v>527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27">
        <f>HYPERLINK("[N Only Old retention.xlsx]'Lake P Results'!M214", 18.04)</f>
        <v>18.04</v>
      </c>
      <c r="AW218" s="18"/>
      <c r="AX218" s="18"/>
      <c r="AY218" s="47">
        <f>AW218-AV218</f>
        <v>-18.04</v>
      </c>
      <c r="AZ218" s="47">
        <f>AX218-AV218</f>
        <v>-18.04</v>
      </c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</row>
    <row r="219" spans="1:67" x14ac:dyDescent="0.55000000000000004">
      <c r="A219" s="31">
        <v>553</v>
      </c>
      <c r="B219" s="5" t="s">
        <v>528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29">
        <f>HYPERLINK("[N Only Old retention.xlsx]'Lake P Results'!M215", 2.79)</f>
        <v>2.79</v>
      </c>
      <c r="AW219" s="13"/>
      <c r="AX219" s="13"/>
      <c r="AY219" s="47">
        <f>AW219-AV219</f>
        <v>-2.79</v>
      </c>
      <c r="AZ219" s="47">
        <f>AX219-AV219</f>
        <v>-2.79</v>
      </c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</row>
    <row r="220" spans="1:67" x14ac:dyDescent="0.55000000000000004">
      <c r="A220" s="30">
        <v>555</v>
      </c>
      <c r="B220" s="6" t="s">
        <v>529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27">
        <f>HYPERLINK("[N Only Old retention.xlsx]'Lake P Results'!Q216", 0.06)</f>
        <v>0.06</v>
      </c>
      <c r="BL220" s="18"/>
      <c r="BM220" s="18"/>
      <c r="BN220" s="47">
        <f>BL220-BK220</f>
        <v>-0.06</v>
      </c>
      <c r="BO220" s="47">
        <f>BM220-BK220</f>
        <v>-0.06</v>
      </c>
    </row>
    <row r="221" spans="1:67" x14ac:dyDescent="0.55000000000000004">
      <c r="A221" s="31">
        <v>556</v>
      </c>
      <c r="B221" s="5" t="s">
        <v>530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</row>
    <row r="222" spans="1:67" x14ac:dyDescent="0.55000000000000004">
      <c r="A222" s="30">
        <v>558</v>
      </c>
      <c r="B222" s="6" t="s">
        <v>531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</row>
    <row r="223" spans="1:67" x14ac:dyDescent="0.55000000000000004">
      <c r="A223" s="31">
        <v>564</v>
      </c>
      <c r="B223" s="5" t="s">
        <v>532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</row>
    <row r="224" spans="1:67" x14ac:dyDescent="0.55000000000000004">
      <c r="A224" s="30">
        <v>567</v>
      </c>
      <c r="B224" s="6" t="s">
        <v>533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27">
        <f>HYPERLINK("[N Only Old retention.xlsx]'Lake P Results'!Q220", 0.0639999999999999)</f>
        <v>6.3999999999999904E-2</v>
      </c>
      <c r="BL224" s="27">
        <f>HYPERLINK("[N Only New retention.xlsx]'Lake P Results'!Q220", 0.0639999999999999)</f>
        <v>6.3999999999999904E-2</v>
      </c>
      <c r="BM224" s="18"/>
      <c r="BN224" s="18"/>
      <c r="BO224" s="47">
        <f>BM224-BK224</f>
        <v>-6.3999999999999904E-2</v>
      </c>
    </row>
    <row r="225" spans="1:67" x14ac:dyDescent="0.55000000000000004">
      <c r="A225" s="31">
        <v>568</v>
      </c>
      <c r="B225" s="5" t="s">
        <v>534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</row>
    <row r="226" spans="1:67" x14ac:dyDescent="0.55000000000000004">
      <c r="A226" s="30">
        <v>569</v>
      </c>
      <c r="B226" s="6" t="s">
        <v>535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</row>
    <row r="227" spans="1:67" x14ac:dyDescent="0.55000000000000004">
      <c r="A227" s="31">
        <v>570</v>
      </c>
      <c r="B227" s="5" t="s">
        <v>536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29">
        <f>HYPERLINK("[N Only Old retention.xlsx]'Lake P Results'!Q223", 0.73)</f>
        <v>0.73</v>
      </c>
      <c r="BL227" s="13"/>
      <c r="BM227" s="13"/>
      <c r="BN227" s="47">
        <f>BL227-BK227</f>
        <v>-0.73</v>
      </c>
      <c r="BO227" s="47">
        <f>BM227-BK227</f>
        <v>-0.73</v>
      </c>
    </row>
    <row r="228" spans="1:67" x14ac:dyDescent="0.55000000000000004">
      <c r="A228" s="30">
        <v>574</v>
      </c>
      <c r="B228" s="6" t="s">
        <v>537</v>
      </c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27">
        <f>HYPERLINK("[N Only Old retention.xlsx]'Lake P Results'!M224", 70.27)</f>
        <v>70.27</v>
      </c>
      <c r="AW228" s="18"/>
      <c r="AX228" s="18"/>
      <c r="AY228" s="47">
        <f>AW228-AV228</f>
        <v>-70.27</v>
      </c>
      <c r="AZ228" s="47">
        <f>AX228-AV228</f>
        <v>-70.27</v>
      </c>
      <c r="BA228" s="18"/>
      <c r="BB228" s="18"/>
      <c r="BC228" s="18"/>
      <c r="BD228" s="18"/>
      <c r="BE228" s="18"/>
      <c r="BF228" s="27">
        <f>HYPERLINK("[N Only Old retention.xlsx]'Lake P Results'!R224", 5.952)</f>
        <v>5.952</v>
      </c>
      <c r="BG228" s="18"/>
      <c r="BH228" s="18"/>
      <c r="BI228" s="47">
        <f>BG228-BF228</f>
        <v>-5.952</v>
      </c>
      <c r="BJ228" s="47">
        <f>BH228-BF228</f>
        <v>-5.952</v>
      </c>
      <c r="BK228" s="27">
        <f>HYPERLINK("[N Only Old retention.xlsx]'Lake P Results'!Q224", 8.8)</f>
        <v>8.8000000000000007</v>
      </c>
      <c r="BL228" s="27">
        <f>HYPERLINK("[N Only New retention.xlsx]'Lake P Results'!Q224", 3.94)</f>
        <v>3.94</v>
      </c>
      <c r="BM228" s="27">
        <f>HYPERLINK("[N Only with New retention and Differentiation.xlsx]'Lake P Results'!Q224", 3.94)</f>
        <v>3.94</v>
      </c>
      <c r="BN228" s="47">
        <f>BL228-BK228</f>
        <v>-4.8600000000000012</v>
      </c>
      <c r="BO228" s="47">
        <f>BM228-BK228</f>
        <v>-4.8600000000000012</v>
      </c>
    </row>
    <row r="229" spans="1:67" x14ac:dyDescent="0.55000000000000004">
      <c r="A229" s="31">
        <v>576</v>
      </c>
      <c r="B229" s="5" t="s">
        <v>538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</row>
    <row r="230" spans="1:67" x14ac:dyDescent="0.55000000000000004">
      <c r="A230" s="30">
        <v>577</v>
      </c>
      <c r="B230" s="6" t="s">
        <v>539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</row>
    <row r="231" spans="1:67" x14ac:dyDescent="0.55000000000000004">
      <c r="A231" s="31">
        <v>578</v>
      </c>
      <c r="B231" s="5" t="s">
        <v>540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29">
        <f>HYPERLINK("[N Only Old retention.xlsx]'Lake P Results'!Q227", 0.0999999999999998)</f>
        <v>9.9999999999999797E-2</v>
      </c>
      <c r="BL231" s="13"/>
      <c r="BM231" s="13"/>
      <c r="BN231" s="47">
        <f>BL231-BK231</f>
        <v>-9.9999999999999797E-2</v>
      </c>
      <c r="BO231" s="47">
        <f>BM231-BK231</f>
        <v>-9.9999999999999797E-2</v>
      </c>
    </row>
    <row r="232" spans="1:67" x14ac:dyDescent="0.55000000000000004">
      <c r="A232" s="30">
        <v>579</v>
      </c>
      <c r="B232" s="6" t="s">
        <v>541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27">
        <f>HYPERLINK("[N Only Old retention.xlsx]'Lake P Results'!M228", 11.39)</f>
        <v>11.39</v>
      </c>
      <c r="AW232" s="18"/>
      <c r="AX232" s="18"/>
      <c r="AY232" s="47">
        <f>AW232-AV232</f>
        <v>-11.39</v>
      </c>
      <c r="AZ232" s="47">
        <f>AX232-AV232</f>
        <v>-11.39</v>
      </c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</row>
    <row r="233" spans="1:67" x14ac:dyDescent="0.55000000000000004">
      <c r="A233" s="31">
        <v>582</v>
      </c>
      <c r="B233" s="5" t="s">
        <v>542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</row>
    <row r="234" spans="1:67" x14ac:dyDescent="0.55000000000000004">
      <c r="A234" s="30">
        <v>583</v>
      </c>
      <c r="B234" s="6" t="s">
        <v>543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</row>
    <row r="235" spans="1:67" x14ac:dyDescent="0.55000000000000004">
      <c r="A235" s="31">
        <v>584</v>
      </c>
      <c r="B235" s="5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</row>
    <row r="236" spans="1:67" x14ac:dyDescent="0.55000000000000004">
      <c r="A236" s="30">
        <v>586</v>
      </c>
      <c r="B236" s="6" t="s">
        <v>544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</row>
    <row r="237" spans="1:67" x14ac:dyDescent="0.55000000000000004">
      <c r="A237" s="31">
        <v>587</v>
      </c>
      <c r="B237" s="5" t="s">
        <v>545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</row>
    <row r="238" spans="1:67" x14ac:dyDescent="0.55000000000000004">
      <c r="A238" s="30">
        <v>591</v>
      </c>
      <c r="B238" s="6" t="s">
        <v>546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</row>
    <row r="239" spans="1:67" x14ac:dyDescent="0.55000000000000004">
      <c r="A239" s="31">
        <v>592</v>
      </c>
      <c r="B239" s="5" t="s">
        <v>547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</row>
    <row r="240" spans="1:67" x14ac:dyDescent="0.55000000000000004">
      <c r="A240" s="30">
        <v>593</v>
      </c>
      <c r="B240" s="6" t="s">
        <v>548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</row>
    <row r="241" spans="1:67" x14ac:dyDescent="0.55000000000000004">
      <c r="A241" s="31">
        <v>595</v>
      </c>
      <c r="B241" s="5" t="s">
        <v>549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29">
        <f>HYPERLINK("[N Only Old retention.xlsx]'Lake P Results'!M237", 5.72)</f>
        <v>5.72</v>
      </c>
      <c r="AW241" s="29">
        <f>HYPERLINK("[N Only New retention.xlsx]'Lake P Results'!M237", 5.72)</f>
        <v>5.72</v>
      </c>
      <c r="AX241" s="29">
        <f>HYPERLINK("[N Only with New retention and Differentiation.xlsx]'Lake P Results'!M237", 5.72)</f>
        <v>5.72</v>
      </c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</row>
    <row r="242" spans="1:67" x14ac:dyDescent="0.55000000000000004">
      <c r="A242" s="30">
        <v>597</v>
      </c>
      <c r="B242" s="6" t="s">
        <v>550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</row>
    <row r="243" spans="1:67" x14ac:dyDescent="0.55000000000000004">
      <c r="A243" s="31">
        <v>598</v>
      </c>
      <c r="B243" s="5" t="s">
        <v>551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29">
        <f>HYPERLINK("[N Only Old retention.xlsx]'Lake P Results'!M239", 21.8)</f>
        <v>21.8</v>
      </c>
      <c r="AW243" s="29">
        <f>HYPERLINK("[N Only New retention.xlsx]'Lake P Results'!M239", 24.93)</f>
        <v>24.93</v>
      </c>
      <c r="AX243" s="29">
        <f>HYPERLINK("[N Only with New retention and Differentiation.xlsx]'Lake P Results'!M239", 24.93)</f>
        <v>24.93</v>
      </c>
      <c r="AY243" s="46">
        <f>AW243-AV243</f>
        <v>3.129999999999999</v>
      </c>
      <c r="AZ243" s="46">
        <f>AX243-AV243</f>
        <v>3.129999999999999</v>
      </c>
      <c r="BA243" s="13"/>
      <c r="BB243" s="13"/>
      <c r="BC243" s="13"/>
      <c r="BD243" s="13"/>
      <c r="BE243" s="13"/>
      <c r="BF243" s="29">
        <f>HYPERLINK("[N Only Old retention.xlsx]'Lake P Results'!R239", 0.234)</f>
        <v>0.23400000000000001</v>
      </c>
      <c r="BG243" s="29">
        <f>HYPERLINK("[N Only New retention.xlsx]'Lake P Results'!R239", 0.234)</f>
        <v>0.23400000000000001</v>
      </c>
      <c r="BH243" s="29">
        <f>HYPERLINK("[N Only with New retention and Differentiation.xlsx]'Lake P Results'!R239", 0.234)</f>
        <v>0.23400000000000001</v>
      </c>
      <c r="BI243" s="13"/>
      <c r="BJ243" s="13"/>
      <c r="BK243" s="29">
        <f>HYPERLINK("[N Only Old retention.xlsx]'Lake P Results'!Q239", 2.512)</f>
        <v>2.512</v>
      </c>
      <c r="BL243" s="29">
        <f>HYPERLINK("[N Only New retention.xlsx]'Lake P Results'!Q239", 2.002)</f>
        <v>2.0019999999999998</v>
      </c>
      <c r="BM243" s="29">
        <f>HYPERLINK("[N Only with New retention and Differentiation.xlsx]'Lake P Results'!Q239", 2.002)</f>
        <v>2.0019999999999998</v>
      </c>
      <c r="BN243" s="47">
        <f>BL243-BK243</f>
        <v>-0.51000000000000023</v>
      </c>
      <c r="BO243" s="47">
        <f>BM243-BK243</f>
        <v>-0.51000000000000023</v>
      </c>
    </row>
    <row r="244" spans="1:67" x14ac:dyDescent="0.55000000000000004">
      <c r="A244" s="30">
        <v>599</v>
      </c>
      <c r="B244" s="6" t="s">
        <v>552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27">
        <f>HYPERLINK("[N Only Old retention.xlsx]'Lake P Results'!O240", 1845.708)</f>
        <v>1845.7080000000001</v>
      </c>
      <c r="BB244" s="27">
        <f>HYPERLINK("[N Only New retention.xlsx]'Lake P Results'!O240", 702.168)</f>
        <v>702.16800000000001</v>
      </c>
      <c r="BC244" s="27">
        <f>HYPERLINK("[N Only with New retention and Differentiation.xlsx]'Lake P Results'!O240", 641.128)</f>
        <v>641.12800000000004</v>
      </c>
      <c r="BD244" s="47">
        <f>BB244-BA244</f>
        <v>-1143.54</v>
      </c>
      <c r="BE244" s="47">
        <f>BC244-BA244</f>
        <v>-1204.58</v>
      </c>
      <c r="BF244" s="27">
        <f>HYPERLINK("[N Only Old retention.xlsx]'Lake P Results'!R240", 305.533999999995)</f>
        <v>305.53399999999499</v>
      </c>
      <c r="BG244" s="27">
        <f>HYPERLINK("[N Only New retention.xlsx]'Lake P Results'!R240", 199.019999999995)</f>
        <v>199.01999999999501</v>
      </c>
      <c r="BH244" s="27">
        <f>HYPERLINK("[N Only with New retention and Differentiation.xlsx]'Lake P Results'!R240", 208.638)</f>
        <v>208.63800000000001</v>
      </c>
      <c r="BI244" s="47">
        <f>BG244-BF244</f>
        <v>-106.51399999999998</v>
      </c>
      <c r="BJ244" s="47">
        <f>BH244-BF244</f>
        <v>-96.895999999994984</v>
      </c>
      <c r="BK244" s="27">
        <f>HYPERLINK("[N Only Old retention.xlsx]'Lake P Results'!Q240", 181.116)</f>
        <v>181.11600000000001</v>
      </c>
      <c r="BL244" s="27">
        <f>HYPERLINK("[N Only New retention.xlsx]'Lake P Results'!Q240", 200.266)</f>
        <v>200.26599999999999</v>
      </c>
      <c r="BM244" s="27">
        <f>HYPERLINK("[N Only with New retention and Differentiation.xlsx]'Lake P Results'!Q240", 201.456)</f>
        <v>201.45599999999999</v>
      </c>
      <c r="BN244" s="46">
        <f>BL244-BK244</f>
        <v>19.149999999999977</v>
      </c>
      <c r="BO244" s="46">
        <f>BM244-BK244</f>
        <v>20.339999999999975</v>
      </c>
    </row>
    <row r="245" spans="1:67" x14ac:dyDescent="0.55000000000000004">
      <c r="A245" s="31">
        <v>601</v>
      </c>
      <c r="B245" s="5" t="s">
        <v>553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</row>
    <row r="246" spans="1:67" x14ac:dyDescent="0.55000000000000004">
      <c r="A246" s="30">
        <v>602</v>
      </c>
      <c r="B246" s="6" t="s">
        <v>554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27">
        <f>HYPERLINK("[N Only Old retention.xlsx]'Lake P Results'!M242", 251.033999999951)</f>
        <v>251.03399999995099</v>
      </c>
      <c r="AW246" s="27">
        <f>HYPERLINK("[N Only New retention.xlsx]'Lake P Results'!M242", 356.614)</f>
        <v>356.61399999999998</v>
      </c>
      <c r="AX246" s="27">
        <f>HYPERLINK("[N Only with New retention and Differentiation.xlsx]'Lake P Results'!M242", 356.614)</f>
        <v>356.61399999999998</v>
      </c>
      <c r="AY246" s="46">
        <f>AW246-AV246</f>
        <v>105.58000000004898</v>
      </c>
      <c r="AZ246" s="46">
        <f>AX246-AV246</f>
        <v>105.58000000004898</v>
      </c>
      <c r="BA246" s="18"/>
      <c r="BB246" s="18"/>
      <c r="BC246" s="18"/>
      <c r="BD246" s="18"/>
      <c r="BE246" s="18"/>
      <c r="BF246" s="27">
        <f>HYPERLINK("[N Only Old retention.xlsx]'Lake P Results'!R242", 0.37)</f>
        <v>0.37</v>
      </c>
      <c r="BG246" s="18"/>
      <c r="BH246" s="18"/>
      <c r="BI246" s="47">
        <f>BG246-BF246</f>
        <v>-0.37</v>
      </c>
      <c r="BJ246" s="47">
        <f>BH246-BF246</f>
        <v>-0.37</v>
      </c>
      <c r="BK246" s="27">
        <f>HYPERLINK("[N Only Old retention.xlsx]'Lake P Results'!Q242", 18.42)</f>
        <v>18.420000000000002</v>
      </c>
      <c r="BL246" s="27">
        <f>HYPERLINK("[N Only New retention.xlsx]'Lake P Results'!Q242", 6.38)</f>
        <v>6.38</v>
      </c>
      <c r="BM246" s="27">
        <f>HYPERLINK("[N Only with New retention and Differentiation.xlsx]'Lake P Results'!Q242", 6.38)</f>
        <v>6.38</v>
      </c>
      <c r="BN246" s="47">
        <f>BL246-BK246</f>
        <v>-12.040000000000003</v>
      </c>
      <c r="BO246" s="47">
        <f>BM246-BK246</f>
        <v>-12.040000000000003</v>
      </c>
    </row>
    <row r="247" spans="1:67" x14ac:dyDescent="0.55000000000000004">
      <c r="A247" s="31">
        <v>605</v>
      </c>
      <c r="B247" s="5" t="s">
        <v>555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29">
        <f>HYPERLINK("[N Only Old retention.xlsx]'Lake P Results'!M243", 25.28)</f>
        <v>25.28</v>
      </c>
      <c r="AW247" s="29">
        <f>HYPERLINK("[N Only New retention.xlsx]'Lake P Results'!M243", 25.28)</f>
        <v>25.28</v>
      </c>
      <c r="AX247" s="29">
        <f>HYPERLINK("[N Only with New retention and Differentiation.xlsx]'Lake P Results'!M243", 25.28)</f>
        <v>25.28</v>
      </c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29">
        <f>HYPERLINK("[N Only Old retention.xlsx]'Lake P Results'!Q243", 0.19)</f>
        <v>0.19</v>
      </c>
      <c r="BL247" s="29">
        <f>HYPERLINK("[N Only New retention.xlsx]'Lake P Results'!Q243", 0.19)</f>
        <v>0.19</v>
      </c>
      <c r="BM247" s="29">
        <f>HYPERLINK("[N Only with New retention and Differentiation.xlsx]'Lake P Results'!Q243", 0.19)</f>
        <v>0.19</v>
      </c>
      <c r="BN247" s="13"/>
      <c r="BO247" s="13"/>
    </row>
    <row r="248" spans="1:67" x14ac:dyDescent="0.55000000000000004">
      <c r="A248" s="30">
        <v>606</v>
      </c>
      <c r="B248" s="6" t="s">
        <v>556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27">
        <f>HYPERLINK("[N Only Old retention.xlsx]'Lake P Results'!M244", 11.25)</f>
        <v>11.25</v>
      </c>
      <c r="AW248" s="27">
        <f>HYPERLINK("[N Only New retention.xlsx]'Lake P Results'!M244", 17.78)</f>
        <v>17.78</v>
      </c>
      <c r="AX248" s="27">
        <f>HYPERLINK("[N Only with New retention and Differentiation.xlsx]'Lake P Results'!M244", 12.93)</f>
        <v>12.93</v>
      </c>
      <c r="AY248" s="46">
        <f>AW248-AV248</f>
        <v>6.5300000000000011</v>
      </c>
      <c r="AZ248" s="46">
        <f>AX248-AV248</f>
        <v>1.6799999999999997</v>
      </c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27">
        <f>HYPERLINK("[N Only Old retention.xlsx]'Lake P Results'!Q244", 0.28)</f>
        <v>0.28000000000000003</v>
      </c>
      <c r="BL248" s="27">
        <f>HYPERLINK("[N Only New retention.xlsx]'Lake P Results'!Q244", 0.28)</f>
        <v>0.28000000000000003</v>
      </c>
      <c r="BM248" s="27">
        <f>HYPERLINK("[N Only with New retention and Differentiation.xlsx]'Lake P Results'!Q244", 0.28)</f>
        <v>0.28000000000000003</v>
      </c>
      <c r="BN248" s="18"/>
      <c r="BO248" s="18"/>
    </row>
    <row r="249" spans="1:67" x14ac:dyDescent="0.55000000000000004">
      <c r="A249" s="31">
        <v>607</v>
      </c>
      <c r="B249" s="5" t="s">
        <v>557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29">
        <f>HYPERLINK("[N Only New retention.xlsx]'Lake P Results'!O245", 8.84)</f>
        <v>8.84</v>
      </c>
      <c r="BC249" s="29">
        <f>HYPERLINK("[N Only with New retention and Differentiation.xlsx]'Lake P Results'!O245", 8.84)</f>
        <v>8.84</v>
      </c>
      <c r="BD249" s="46">
        <f>BB249-BA249</f>
        <v>8.84</v>
      </c>
      <c r="BE249" s="46">
        <f>BC249-BA249</f>
        <v>8.84</v>
      </c>
      <c r="BF249" s="29">
        <f>HYPERLINK("[N Only Old retention.xlsx]'Lake P Results'!R245", 1.36999999999167)</f>
        <v>1.3699999999916701</v>
      </c>
      <c r="BG249" s="13"/>
      <c r="BH249" s="13"/>
      <c r="BI249" s="47">
        <f>BG249-BF249</f>
        <v>-1.3699999999916701</v>
      </c>
      <c r="BJ249" s="47">
        <f>BH249-BF249</f>
        <v>-1.3699999999916701</v>
      </c>
      <c r="BK249" s="29">
        <f>HYPERLINK("[N Only Old retention.xlsx]'Lake P Results'!Q245", 7.3)</f>
        <v>7.3</v>
      </c>
      <c r="BL249" s="29">
        <f>HYPERLINK("[N Only New retention.xlsx]'Lake P Results'!Q245", 16.34)</f>
        <v>16.34</v>
      </c>
      <c r="BM249" s="29">
        <f>HYPERLINK("[N Only with New retention and Differentiation.xlsx]'Lake P Results'!Q245", 16.34)</f>
        <v>16.34</v>
      </c>
      <c r="BN249" s="46">
        <f>BL249-BK249</f>
        <v>9.0399999999999991</v>
      </c>
      <c r="BO249" s="46">
        <f>BM249-BK249</f>
        <v>9.0399999999999991</v>
      </c>
    </row>
    <row r="250" spans="1:67" x14ac:dyDescent="0.55000000000000004">
      <c r="A250" s="30">
        <v>608</v>
      </c>
      <c r="B250" s="6" t="s">
        <v>558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</row>
    <row r="251" spans="1:67" x14ac:dyDescent="0.55000000000000004">
      <c r="A251" s="31">
        <v>609</v>
      </c>
      <c r="B251" s="5" t="s">
        <v>559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</row>
    <row r="252" spans="1:67" x14ac:dyDescent="0.55000000000000004">
      <c r="A252" s="30">
        <v>610</v>
      </c>
      <c r="B252" s="6" t="s">
        <v>560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</row>
    <row r="253" spans="1:67" x14ac:dyDescent="0.55000000000000004">
      <c r="A253" s="31">
        <v>612</v>
      </c>
      <c r="B253" s="5" t="s">
        <v>561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</row>
    <row r="254" spans="1:67" x14ac:dyDescent="0.55000000000000004">
      <c r="A254" s="30">
        <v>615</v>
      </c>
      <c r="B254" s="6" t="s">
        <v>562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27">
        <f>HYPERLINK("[N Only Old retention.xlsx]'Lake P Results'!M250", 30.826)</f>
        <v>30.826000000000001</v>
      </c>
      <c r="AW254" s="27">
        <f>HYPERLINK("[N Only New retention.xlsx]'Lake P Results'!M250", 9.62)</f>
        <v>9.6199999999999992</v>
      </c>
      <c r="AX254" s="27">
        <f>HYPERLINK("[N Only with New retention and Differentiation.xlsx]'Lake P Results'!M250", 18.38)</f>
        <v>18.38</v>
      </c>
      <c r="AY254" s="47">
        <f>AW254-AV254</f>
        <v>-21.206000000000003</v>
      </c>
      <c r="AZ254" s="47">
        <f>AX254-AV254</f>
        <v>-12.446000000000002</v>
      </c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27">
        <f>HYPERLINK("[N Only Old retention.xlsx]'Lake P Results'!Q250", 16.242)</f>
        <v>16.242000000000001</v>
      </c>
      <c r="BL254" s="27">
        <f>HYPERLINK("[N Only New retention.xlsx]'Lake P Results'!Q250", 15.952)</f>
        <v>15.952</v>
      </c>
      <c r="BM254" s="27">
        <f>HYPERLINK("[N Only with New retention and Differentiation.xlsx]'Lake P Results'!Q250", 15.952)</f>
        <v>15.952</v>
      </c>
      <c r="BN254" s="47">
        <f>BL254-BK254</f>
        <v>-0.29000000000000092</v>
      </c>
      <c r="BO254" s="47">
        <f>BM254-BK254</f>
        <v>-0.29000000000000092</v>
      </c>
    </row>
    <row r="255" spans="1:67" x14ac:dyDescent="0.55000000000000004">
      <c r="A255" s="31">
        <v>622</v>
      </c>
      <c r="B255" s="5" t="s">
        <v>563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29">
        <f>HYPERLINK("[N Only Old retention.xlsx]'Lake P Results'!O251", 609.26)</f>
        <v>609.26</v>
      </c>
      <c r="BB255" s="29">
        <f>HYPERLINK("[N Only New retention.xlsx]'Lake P Results'!O251", 1671.152)</f>
        <v>1671.152</v>
      </c>
      <c r="BC255" s="29">
        <f>HYPERLINK("[N Only with New retention and Differentiation.xlsx]'Lake P Results'!O251", 1584.962)</f>
        <v>1584.962</v>
      </c>
      <c r="BD255" s="46">
        <f>BB255-BA255</f>
        <v>1061.8920000000001</v>
      </c>
      <c r="BE255" s="46">
        <f>BC255-BA255</f>
        <v>975.702</v>
      </c>
      <c r="BF255" s="29">
        <f>HYPERLINK("[N Only Old retention.xlsx]'Lake P Results'!R251", 301.329866623024)</f>
        <v>301.32986662302397</v>
      </c>
      <c r="BG255" s="29">
        <f>HYPERLINK("[N Only New retention.xlsx]'Lake P Results'!R251", 70.022)</f>
        <v>70.022000000000006</v>
      </c>
      <c r="BH255" s="29">
        <f>HYPERLINK("[N Only with New retention and Differentiation.xlsx]'Lake P Results'!R251", 75.722)</f>
        <v>75.721999999999994</v>
      </c>
      <c r="BI255" s="47">
        <f>BG255-BF255</f>
        <v>-231.30786662302398</v>
      </c>
      <c r="BJ255" s="47">
        <f>BH255-BF255</f>
        <v>-225.60786662302399</v>
      </c>
      <c r="BK255" s="29">
        <f>HYPERLINK("[N Only Old retention.xlsx]'Lake P Results'!Q251", 401.499368421053)</f>
        <v>401.49936842105302</v>
      </c>
      <c r="BL255" s="29">
        <f>HYPERLINK("[N Only New retention.xlsx]'Lake P Results'!Q251", 469.423482474006)</f>
        <v>469.42348247400599</v>
      </c>
      <c r="BM255" s="29">
        <f>HYPERLINK("[N Only with New retention and Differentiation.xlsx]'Lake P Results'!Q251", 475.193482474006)</f>
        <v>475.19348247400598</v>
      </c>
      <c r="BN255" s="46">
        <f>BL255-BK255</f>
        <v>67.924114052952973</v>
      </c>
      <c r="BO255" s="46">
        <f>BM255-BK255</f>
        <v>73.694114052952955</v>
      </c>
    </row>
    <row r="256" spans="1:67" x14ac:dyDescent="0.55000000000000004">
      <c r="A256" s="30">
        <v>623</v>
      </c>
      <c r="B256" s="6" t="s">
        <v>564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27">
        <f>HYPERLINK("[N Only Old retention.xlsx]'Lake P Results'!O252", 3.99)</f>
        <v>3.99</v>
      </c>
      <c r="BB256" s="27">
        <f>HYPERLINK("[N Only New retention.xlsx]'Lake P Results'!O252", 3.99)</f>
        <v>3.99</v>
      </c>
      <c r="BC256" s="18"/>
      <c r="BD256" s="18"/>
      <c r="BE256" s="47">
        <f>BC256-BA256</f>
        <v>-3.99</v>
      </c>
      <c r="BF256" s="18"/>
      <c r="BG256" s="18"/>
      <c r="BH256" s="18"/>
      <c r="BI256" s="18"/>
      <c r="BJ256" s="18"/>
      <c r="BK256" s="27">
        <f>HYPERLINK("[N Only Old retention.xlsx]'Lake P Results'!Q252", 13.45)</f>
        <v>13.45</v>
      </c>
      <c r="BL256" s="27">
        <f>HYPERLINK("[N Only New retention.xlsx]'Lake P Results'!Q252", 13.45)</f>
        <v>13.45</v>
      </c>
      <c r="BM256" s="27">
        <f>HYPERLINK("[N Only with New retention and Differentiation.xlsx]'Lake P Results'!Q252", 13.45)</f>
        <v>13.45</v>
      </c>
      <c r="BN256" s="18"/>
      <c r="BO256" s="18"/>
    </row>
    <row r="257" spans="1:67" x14ac:dyDescent="0.55000000000000004">
      <c r="A257" s="31">
        <v>632</v>
      </c>
      <c r="B257" s="5" t="s">
        <v>565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</row>
    <row r="258" spans="1:67" x14ac:dyDescent="0.55000000000000004">
      <c r="A258" s="30">
        <v>633</v>
      </c>
      <c r="B258" s="6" t="s">
        <v>566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</row>
    <row r="259" spans="1:67" x14ac:dyDescent="0.55000000000000004">
      <c r="A259" s="31">
        <v>639</v>
      </c>
      <c r="B259" s="5" t="s">
        <v>567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29">
        <f>HYPERLINK("[N Only New retention.xlsx]'Lake P Results'!O255", 38.76)</f>
        <v>38.76</v>
      </c>
      <c r="BC259" s="29">
        <f>HYPERLINK("[N Only with New retention and Differentiation.xlsx]'Lake P Results'!O255", 38.76)</f>
        <v>38.76</v>
      </c>
      <c r="BD259" s="46">
        <f>BB259-BA259</f>
        <v>38.76</v>
      </c>
      <c r="BE259" s="46">
        <f>BC259-BA259</f>
        <v>38.76</v>
      </c>
      <c r="BF259" s="13"/>
      <c r="BG259" s="13"/>
      <c r="BH259" s="13"/>
      <c r="BI259" s="13"/>
      <c r="BJ259" s="13"/>
      <c r="BK259" s="29">
        <f>HYPERLINK("[N Only Old retention.xlsx]'Lake P Results'!Q255", 0.0399999999999999)</f>
        <v>3.9999999999999897E-2</v>
      </c>
      <c r="BL259" s="13"/>
      <c r="BM259" s="13"/>
      <c r="BN259" s="47">
        <f>BL259-BK259</f>
        <v>-3.9999999999999897E-2</v>
      </c>
      <c r="BO259" s="47">
        <f>BM259-BK259</f>
        <v>-3.9999999999999897E-2</v>
      </c>
    </row>
    <row r="260" spans="1:67" x14ac:dyDescent="0.55000000000000004">
      <c r="A260" s="30">
        <v>641</v>
      </c>
      <c r="B260" s="6" t="s">
        <v>568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27">
        <f>HYPERLINK("[N Only Old retention.xlsx]'Lake P Results'!R256", 20.94)</f>
        <v>20.94</v>
      </c>
      <c r="BG260" s="27">
        <f>HYPERLINK("[N Only New retention.xlsx]'Lake P Results'!R256", 3.73)</f>
        <v>3.73</v>
      </c>
      <c r="BH260" s="27">
        <f>HYPERLINK("[N Only with New retention and Differentiation.xlsx]'Lake P Results'!R256", 16.29)</f>
        <v>16.29</v>
      </c>
      <c r="BI260" s="47">
        <f>BG260-BF260</f>
        <v>-17.21</v>
      </c>
      <c r="BJ260" s="47">
        <f>BH260-BF260</f>
        <v>-4.6500000000000021</v>
      </c>
      <c r="BK260" s="27">
        <f>HYPERLINK("[N Only Old retention.xlsx]'Lake P Results'!Q256", 30.92)</f>
        <v>30.92</v>
      </c>
      <c r="BL260" s="27">
        <f>HYPERLINK("[N Only New retention.xlsx]'Lake P Results'!Q256", 44.962)</f>
        <v>44.962000000000003</v>
      </c>
      <c r="BM260" s="27">
        <f>HYPERLINK("[N Only with New retention and Differentiation.xlsx]'Lake P Results'!Q256", 44.962)</f>
        <v>44.962000000000003</v>
      </c>
      <c r="BN260" s="46">
        <f>BL260-BK260</f>
        <v>14.042000000000002</v>
      </c>
      <c r="BO260" s="46">
        <f>BM260-BK260</f>
        <v>14.042000000000002</v>
      </c>
    </row>
    <row r="261" spans="1:67" x14ac:dyDescent="0.55000000000000004">
      <c r="A261" s="31">
        <v>642</v>
      </c>
      <c r="B261" s="5" t="s">
        <v>569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29">
        <f>HYPERLINK("[N Only Old retention.xlsx]'Lake P Results'!O257", 231.956)</f>
        <v>231.95599999999999</v>
      </c>
      <c r="BB261" s="29">
        <f>HYPERLINK("[N Only New retention.xlsx]'Lake P Results'!O257", 136.532)</f>
        <v>136.53200000000001</v>
      </c>
      <c r="BC261" s="29">
        <f>HYPERLINK("[N Only with New retention and Differentiation.xlsx]'Lake P Results'!O257", 134.892)</f>
        <v>134.892</v>
      </c>
      <c r="BD261" s="47">
        <f>BB261-BA261</f>
        <v>-95.423999999999978</v>
      </c>
      <c r="BE261" s="47">
        <f>BC261-BA261</f>
        <v>-97.063999999999993</v>
      </c>
      <c r="BF261" s="29">
        <f>HYPERLINK("[N Only Old retention.xlsx]'Lake P Results'!R257", 167.372)</f>
        <v>167.37200000000001</v>
      </c>
      <c r="BG261" s="29">
        <f>HYPERLINK("[N Only New retention.xlsx]'Lake P Results'!R257", 84.364)</f>
        <v>84.364000000000004</v>
      </c>
      <c r="BH261" s="29">
        <f>HYPERLINK("[N Only with New retention and Differentiation.xlsx]'Lake P Results'!R257", 97.614)</f>
        <v>97.614000000000004</v>
      </c>
      <c r="BI261" s="47">
        <f>BG261-BF261</f>
        <v>-83.00800000000001</v>
      </c>
      <c r="BJ261" s="47">
        <f>BH261-BF261</f>
        <v>-69.75800000000001</v>
      </c>
      <c r="BK261" s="29">
        <f>HYPERLINK("[N Only Old retention.xlsx]'Lake P Results'!Q257", 83.8724330223552)</f>
        <v>83.872433022355196</v>
      </c>
      <c r="BL261" s="29">
        <f>HYPERLINK("[N Only New retention.xlsx]'Lake P Results'!Q257", 82.8924330223552)</f>
        <v>82.892433022355206</v>
      </c>
      <c r="BM261" s="29">
        <f>HYPERLINK("[N Only with New retention and Differentiation.xlsx]'Lake P Results'!Q257", 83.6124330223552)</f>
        <v>83.612433022355205</v>
      </c>
      <c r="BN261" s="47">
        <f>BL261-BK261</f>
        <v>-0.97999999999998977</v>
      </c>
      <c r="BO261" s="47">
        <f>BM261-BK261</f>
        <v>-0.25999999999999091</v>
      </c>
    </row>
    <row r="262" spans="1:67" x14ac:dyDescent="0.55000000000000004">
      <c r="A262" s="30">
        <v>646</v>
      </c>
      <c r="B262" s="6" t="s">
        <v>570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</row>
    <row r="263" spans="1:67" x14ac:dyDescent="0.55000000000000004">
      <c r="A263" s="31">
        <v>647</v>
      </c>
      <c r="B263" s="5" t="s">
        <v>571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</row>
    <row r="264" spans="1:67" x14ac:dyDescent="0.55000000000000004">
      <c r="A264" s="30">
        <v>650</v>
      </c>
      <c r="B264" s="6" t="s">
        <v>572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27">
        <f>HYPERLINK("[N Only Old retention.xlsx]'Lake P Results'!M260", 2677.02799999998)</f>
        <v>2677.0279999999798</v>
      </c>
      <c r="AW264" s="27">
        <f>HYPERLINK("[N Only New retention.xlsx]'Lake P Results'!M260", 2653.356)</f>
        <v>2653.3560000000002</v>
      </c>
      <c r="AX264" s="27">
        <f>HYPERLINK("[N Only with New retention and Differentiation.xlsx]'Lake P Results'!M260", 2629.786)</f>
        <v>2629.7860000000001</v>
      </c>
      <c r="AY264" s="47">
        <f>AW264-AV264</f>
        <v>-23.671999999979562</v>
      </c>
      <c r="AZ264" s="47">
        <f>AX264-AV264</f>
        <v>-47.241999999979726</v>
      </c>
      <c r="BA264" s="27">
        <f>HYPERLINK("[N Only Old retention.xlsx]'Lake P Results'!O260", 2.17)</f>
        <v>2.17</v>
      </c>
      <c r="BB264" s="27">
        <f>HYPERLINK("[N Only New retention.xlsx]'Lake P Results'!O260", 8.48999999996134)</f>
        <v>8.4899999999613396</v>
      </c>
      <c r="BC264" s="27">
        <f>HYPERLINK("[N Only with New retention and Differentiation.xlsx]'Lake P Results'!O260", 32.06)</f>
        <v>32.06</v>
      </c>
      <c r="BD264" s="46">
        <f>BB264-BA264</f>
        <v>6.3199999999613397</v>
      </c>
      <c r="BE264" s="46">
        <f>BC264-BA264</f>
        <v>29.89</v>
      </c>
      <c r="BF264" s="27">
        <f>HYPERLINK("[N Only Old retention.xlsx]'Lake P Results'!R260", 50.554)</f>
        <v>50.554000000000002</v>
      </c>
      <c r="BG264" s="27">
        <f>HYPERLINK("[N Only New retention.xlsx]'Lake P Results'!R260", 57.642)</f>
        <v>57.642000000000003</v>
      </c>
      <c r="BH264" s="27">
        <f>HYPERLINK("[N Only with New retention and Differentiation.xlsx]'Lake P Results'!R260", 57.642)</f>
        <v>57.642000000000003</v>
      </c>
      <c r="BI264" s="46">
        <f>BG264-BF264</f>
        <v>7.088000000000001</v>
      </c>
      <c r="BJ264" s="46">
        <f>BH264-BF264</f>
        <v>7.088000000000001</v>
      </c>
      <c r="BK264" s="27">
        <f>HYPERLINK("[N Only Old retention.xlsx]'Lake P Results'!Q260", 14.234)</f>
        <v>14.234</v>
      </c>
      <c r="BL264" s="27">
        <f>HYPERLINK("[N Only New retention.xlsx]'Lake P Results'!Q260", 38.076)</f>
        <v>38.076000000000001</v>
      </c>
      <c r="BM264" s="27">
        <f>HYPERLINK("[N Only with New retention and Differentiation.xlsx]'Lake P Results'!Q260", 38.076)</f>
        <v>38.076000000000001</v>
      </c>
      <c r="BN264" s="46">
        <f>BL264-BK264</f>
        <v>23.841999999999999</v>
      </c>
      <c r="BO264" s="46">
        <f>BM264-BK264</f>
        <v>23.841999999999999</v>
      </c>
    </row>
    <row r="265" spans="1:67" x14ac:dyDescent="0.55000000000000004">
      <c r="A265" s="31">
        <v>651</v>
      </c>
      <c r="B265" s="5" t="s">
        <v>573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29">
        <f>HYPERLINK("[N Only Old retention.xlsx]'Lake P Results'!R261", 4.75)</f>
        <v>4.75</v>
      </c>
      <c r="BG265" s="29">
        <f>HYPERLINK("[N Only New retention.xlsx]'Lake P Results'!R261", 4.75)</f>
        <v>4.75</v>
      </c>
      <c r="BH265" s="29">
        <f>HYPERLINK("[N Only with New retention and Differentiation.xlsx]'Lake P Results'!R261", 4.75)</f>
        <v>4.75</v>
      </c>
      <c r="BI265" s="13"/>
      <c r="BJ265" s="13"/>
      <c r="BK265" s="13"/>
      <c r="BL265" s="13"/>
      <c r="BM265" s="13"/>
      <c r="BN265" s="13"/>
      <c r="BO265" s="13"/>
    </row>
    <row r="266" spans="1:67" x14ac:dyDescent="0.55000000000000004">
      <c r="A266" s="30">
        <v>654</v>
      </c>
      <c r="B266" s="6" t="s">
        <v>574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</row>
    <row r="267" spans="1:67" x14ac:dyDescent="0.55000000000000004">
      <c r="A267" s="31">
        <v>655</v>
      </c>
      <c r="B267" s="5" t="s">
        <v>575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29">
        <f>HYPERLINK("[N Only Old retention.xlsx]'Lake P Results'!M263", 807.38)</f>
        <v>807.38</v>
      </c>
      <c r="AW267" s="29">
        <f>HYPERLINK("[N Only New retention.xlsx]'Lake P Results'!M263", 1713.83944760751)</f>
        <v>1713.83944760751</v>
      </c>
      <c r="AX267" s="29">
        <f>HYPERLINK("[N Only with New retention and Differentiation.xlsx]'Lake P Results'!M263", 1456.658)</f>
        <v>1456.6579999999999</v>
      </c>
      <c r="AY267" s="46">
        <f>AW267-AV267</f>
        <v>906.45944760751001</v>
      </c>
      <c r="AZ267" s="46">
        <f>AX267-AV267</f>
        <v>649.27799999999991</v>
      </c>
      <c r="BA267" s="29">
        <f>HYPERLINK("[N Only Old retention.xlsx]'Lake P Results'!O263", 128.928)</f>
        <v>128.928</v>
      </c>
      <c r="BB267" s="29">
        <f>HYPERLINK("[N Only New retention.xlsx]'Lake P Results'!O263", 8.8)</f>
        <v>8.8000000000000007</v>
      </c>
      <c r="BC267" s="29">
        <f>HYPERLINK("[N Only with New retention and Differentiation.xlsx]'Lake P Results'!O263", 270.019447607511)</f>
        <v>270.01944760751098</v>
      </c>
      <c r="BD267" s="47">
        <f>BB267-BA267</f>
        <v>-120.128</v>
      </c>
      <c r="BE267" s="46">
        <f>BC267-BA267</f>
        <v>141.09144760751099</v>
      </c>
      <c r="BF267" s="29">
        <f>HYPERLINK("[N Only Old retention.xlsx]'Lake P Results'!R263", 34.598)</f>
        <v>34.597999999999999</v>
      </c>
      <c r="BG267" s="29">
        <f>HYPERLINK("[N Only New retention.xlsx]'Lake P Results'!R263", 48.564)</f>
        <v>48.564</v>
      </c>
      <c r="BH267" s="29">
        <f>HYPERLINK("[N Only with New retention and Differentiation.xlsx]'Lake P Results'!R263", 48.564)</f>
        <v>48.564</v>
      </c>
      <c r="BI267" s="46">
        <f>BG267-BF267</f>
        <v>13.966000000000001</v>
      </c>
      <c r="BJ267" s="46">
        <f>BH267-BF267</f>
        <v>13.966000000000001</v>
      </c>
      <c r="BK267" s="29">
        <f>HYPERLINK("[N Only Old retention.xlsx]'Lake P Results'!Q263", 18.33)</f>
        <v>18.329999999999998</v>
      </c>
      <c r="BL267" s="29">
        <f>HYPERLINK("[N Only New retention.xlsx]'Lake P Results'!Q263", 14.888)</f>
        <v>14.888</v>
      </c>
      <c r="BM267" s="29">
        <f>HYPERLINK("[N Only with New retention and Differentiation.xlsx]'Lake P Results'!Q263", 14.888)</f>
        <v>14.888</v>
      </c>
      <c r="BN267" s="47">
        <f>BL267-BK267</f>
        <v>-3.4419999999999984</v>
      </c>
      <c r="BO267" s="47">
        <f>BM267-BK267</f>
        <v>-3.4419999999999984</v>
      </c>
    </row>
    <row r="268" spans="1:67" x14ac:dyDescent="0.55000000000000004">
      <c r="A268" s="30">
        <v>656</v>
      </c>
      <c r="B268" s="6" t="s">
        <v>576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27">
        <f>HYPERLINK("[N Only Old retention.xlsx]'Lake P Results'!R264", 0.0699999999999999)</f>
        <v>6.9999999999999896E-2</v>
      </c>
      <c r="BG268" s="27">
        <f>HYPERLINK("[N Only New retention.xlsx]'Lake P Results'!R264", 0.0699999999999999)</f>
        <v>6.9999999999999896E-2</v>
      </c>
      <c r="BH268" s="27">
        <f>HYPERLINK("[N Only with New retention and Differentiation.xlsx]'Lake P Results'!R264", 0.0699999999999999)</f>
        <v>6.9999999999999896E-2</v>
      </c>
      <c r="BI268" s="18"/>
      <c r="BJ268" s="18"/>
      <c r="BK268" s="27">
        <f>HYPERLINK("[N Only Old retention.xlsx]'Lake P Results'!Q264", 1.102)</f>
        <v>1.1020000000000001</v>
      </c>
      <c r="BL268" s="27">
        <f>HYPERLINK("[N Only New retention.xlsx]'Lake P Results'!Q264", 1.102)</f>
        <v>1.1020000000000001</v>
      </c>
      <c r="BM268" s="27">
        <f>HYPERLINK("[N Only with New retention and Differentiation.xlsx]'Lake P Results'!Q264", 1.102)</f>
        <v>1.1020000000000001</v>
      </c>
      <c r="BN268" s="18"/>
      <c r="BO268" s="18"/>
    </row>
    <row r="269" spans="1:67" x14ac:dyDescent="0.55000000000000004">
      <c r="A269" s="31">
        <v>658</v>
      </c>
      <c r="B269" s="5" t="s">
        <v>577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</row>
    <row r="270" spans="1:67" x14ac:dyDescent="0.55000000000000004">
      <c r="A270" s="30">
        <v>659</v>
      </c>
      <c r="B270" s="6" t="s">
        <v>578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</row>
    <row r="271" spans="1:67" x14ac:dyDescent="0.55000000000000004">
      <c r="A271" s="31">
        <v>660</v>
      </c>
      <c r="B271" s="5" t="s">
        <v>579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</row>
    <row r="272" spans="1:67" x14ac:dyDescent="0.55000000000000004">
      <c r="A272" s="30">
        <v>662</v>
      </c>
      <c r="B272" s="6" t="s">
        <v>580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27">
        <f>HYPERLINK("[N Only Old retention.xlsx]'Lake P Results'!R268", 1.03)</f>
        <v>1.03</v>
      </c>
      <c r="BG272" s="27">
        <f>HYPERLINK("[N Only New retention.xlsx]'Lake P Results'!R268", 1.03)</f>
        <v>1.03</v>
      </c>
      <c r="BH272" s="27">
        <f>HYPERLINK("[N Only with New retention and Differentiation.xlsx]'Lake P Results'!R268", 1.03)</f>
        <v>1.03</v>
      </c>
      <c r="BI272" s="18"/>
      <c r="BJ272" s="18"/>
      <c r="BK272" s="18"/>
      <c r="BL272" s="18"/>
      <c r="BM272" s="18"/>
      <c r="BN272" s="18"/>
      <c r="BO272" s="18"/>
    </row>
    <row r="273" spans="1:67" x14ac:dyDescent="0.55000000000000004">
      <c r="A273" s="31">
        <v>666</v>
      </c>
      <c r="B273" s="5" t="s">
        <v>581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29">
        <f>HYPERLINK("[N Only Old retention.xlsx]'Lake P Results'!O269", 4.284)</f>
        <v>4.2839999999999998</v>
      </c>
      <c r="BB273" s="13"/>
      <c r="BC273" s="29">
        <f>HYPERLINK("[N Only with New retention and Differentiation.xlsx]'Lake P Results'!O269", 0.644)</f>
        <v>0.64400000000000002</v>
      </c>
      <c r="BD273" s="47">
        <f>BB273-BA273</f>
        <v>-4.2839999999999998</v>
      </c>
      <c r="BE273" s="47">
        <f>BC273-BA273</f>
        <v>-3.6399999999999997</v>
      </c>
      <c r="BF273" s="13"/>
      <c r="BG273" s="13"/>
      <c r="BH273" s="13"/>
      <c r="BI273" s="13"/>
      <c r="BJ273" s="13"/>
      <c r="BK273" s="29">
        <f>HYPERLINK("[N Only Old retention.xlsx]'Lake P Results'!Q269", 0.600000000000002)</f>
        <v>0.60000000000000198</v>
      </c>
      <c r="BL273" s="29">
        <f>HYPERLINK("[N Only New retention.xlsx]'Lake P Results'!Q269", 0.620000000000002)</f>
        <v>0.62000000000000199</v>
      </c>
      <c r="BM273" s="29">
        <f>HYPERLINK("[N Only with New retention and Differentiation.xlsx]'Lake P Results'!Q269", 0.620000000000002)</f>
        <v>0.62000000000000199</v>
      </c>
      <c r="BN273" s="46">
        <f>BL273-BK273</f>
        <v>2.0000000000000018E-2</v>
      </c>
      <c r="BO273" s="46">
        <f>BM273-BK273</f>
        <v>2.0000000000000018E-2</v>
      </c>
    </row>
    <row r="274" spans="1:67" x14ac:dyDescent="0.55000000000000004">
      <c r="A274" s="30">
        <v>669</v>
      </c>
      <c r="B274" s="6" t="s">
        <v>582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27">
        <f>HYPERLINK("[N Only Old retention.xlsx]'Lake P Results'!R270", 0.22)</f>
        <v>0.22</v>
      </c>
      <c r="BG274" s="27">
        <f>HYPERLINK("[N Only New retention.xlsx]'Lake P Results'!R270", 0.22)</f>
        <v>0.22</v>
      </c>
      <c r="BH274" s="27">
        <f>HYPERLINK("[N Only with New retention and Differentiation.xlsx]'Lake P Results'!R270", 0.22)</f>
        <v>0.22</v>
      </c>
      <c r="BI274" s="18"/>
      <c r="BJ274" s="18"/>
      <c r="BK274" s="18"/>
      <c r="BL274" s="18"/>
      <c r="BM274" s="18"/>
      <c r="BN274" s="18"/>
      <c r="BO274" s="18"/>
    </row>
    <row r="275" spans="1:67" x14ac:dyDescent="0.55000000000000004">
      <c r="A275" s="31">
        <v>673</v>
      </c>
      <c r="B275" s="5" t="s">
        <v>583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29">
        <f>HYPERLINK("[N Only Old retention.xlsx]'Lake P Results'!R271", 0.11)</f>
        <v>0.11</v>
      </c>
      <c r="BG275" s="29">
        <f>HYPERLINK("[N Only New retention.xlsx]'Lake P Results'!R271", 0.11)</f>
        <v>0.11</v>
      </c>
      <c r="BH275" s="29">
        <f>HYPERLINK("[N Only with New retention and Differentiation.xlsx]'Lake P Results'!R271", 0.11)</f>
        <v>0.11</v>
      </c>
      <c r="BI275" s="13"/>
      <c r="BJ275" s="13"/>
      <c r="BK275" s="13"/>
      <c r="BL275" s="13"/>
      <c r="BM275" s="13"/>
      <c r="BN275" s="13"/>
      <c r="BO275" s="13"/>
    </row>
    <row r="276" spans="1:67" x14ac:dyDescent="0.55000000000000004">
      <c r="A276" s="30">
        <v>674</v>
      </c>
      <c r="B276" s="6" t="s">
        <v>584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27">
        <f>HYPERLINK("[N Only Old retention.xlsx]'Lake P Results'!R272", 0.03)</f>
        <v>0.03</v>
      </c>
      <c r="BG276" s="27">
        <f>HYPERLINK("[N Only New retention.xlsx]'Lake P Results'!R272", 0.106)</f>
        <v>0.106</v>
      </c>
      <c r="BH276" s="27">
        <f>HYPERLINK("[N Only with New retention and Differentiation.xlsx]'Lake P Results'!R272", 0.106)</f>
        <v>0.106</v>
      </c>
      <c r="BI276" s="46">
        <f>BG276-BF276</f>
        <v>7.5999999999999998E-2</v>
      </c>
      <c r="BJ276" s="46">
        <f>BH276-BF276</f>
        <v>7.5999999999999998E-2</v>
      </c>
      <c r="BK276" s="18"/>
      <c r="BL276" s="18"/>
      <c r="BM276" s="18"/>
      <c r="BN276" s="18"/>
      <c r="BO276" s="18"/>
    </row>
    <row r="277" spans="1:67" x14ac:dyDescent="0.55000000000000004">
      <c r="A277" s="31">
        <v>675</v>
      </c>
      <c r="B277" s="5" t="s">
        <v>585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</row>
    <row r="278" spans="1:67" x14ac:dyDescent="0.55000000000000004">
      <c r="A278" s="30">
        <v>676</v>
      </c>
      <c r="B278" s="6" t="s">
        <v>586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27">
        <f>HYPERLINK("[N Only New retention.xlsx]'Lake P Results'!O274", 26.74)</f>
        <v>26.74</v>
      </c>
      <c r="BC278" s="27">
        <f>HYPERLINK("[N Only with New retention and Differentiation.xlsx]'Lake P Results'!O274", 40.25)</f>
        <v>40.25</v>
      </c>
      <c r="BD278" s="46">
        <f>BB278-BA278</f>
        <v>26.74</v>
      </c>
      <c r="BE278" s="46">
        <f>BC278-BA278</f>
        <v>40.25</v>
      </c>
      <c r="BF278" s="27">
        <f>HYPERLINK("[N Only Old retention.xlsx]'Lake P Results'!R274", 1.56)</f>
        <v>1.56</v>
      </c>
      <c r="BG278" s="27">
        <f>HYPERLINK("[N Only New retention.xlsx]'Lake P Results'!R274", 1.56)</f>
        <v>1.56</v>
      </c>
      <c r="BH278" s="27">
        <f>HYPERLINK("[N Only with New retention and Differentiation.xlsx]'Lake P Results'!R274", 1.56)</f>
        <v>1.56</v>
      </c>
      <c r="BI278" s="18"/>
      <c r="BJ278" s="18"/>
      <c r="BK278" s="18"/>
      <c r="BL278" s="27">
        <f>HYPERLINK("[N Only New retention.xlsx]'Lake P Results'!Q274", 1.08)</f>
        <v>1.08</v>
      </c>
      <c r="BM278" s="27">
        <f>HYPERLINK("[N Only with New retention and Differentiation.xlsx]'Lake P Results'!Q274", 1.02)</f>
        <v>1.02</v>
      </c>
      <c r="BN278" s="46">
        <f>BL278-BK278</f>
        <v>1.08</v>
      </c>
      <c r="BO278" s="46">
        <f>BM278-BK278</f>
        <v>1.02</v>
      </c>
    </row>
    <row r="279" spans="1:67" x14ac:dyDescent="0.55000000000000004">
      <c r="A279" s="31">
        <v>682</v>
      </c>
      <c r="B279" s="5" t="s">
        <v>587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29">
        <f>HYPERLINK("[N Only Old retention.xlsx]'Lake P Results'!M275", 106.536)</f>
        <v>106.536</v>
      </c>
      <c r="AW279" s="29">
        <f>HYPERLINK("[N Only New retention.xlsx]'Lake P Results'!M275", 262.238)</f>
        <v>262.238</v>
      </c>
      <c r="AX279" s="13"/>
      <c r="AY279" s="46">
        <f>AW279-AV279</f>
        <v>155.702</v>
      </c>
      <c r="AZ279" s="47">
        <f>AX279-AV279</f>
        <v>-106.536</v>
      </c>
      <c r="BA279" s="29">
        <f>HYPERLINK("[N Only Old retention.xlsx]'Lake P Results'!O275", 250.538)</f>
        <v>250.53800000000001</v>
      </c>
      <c r="BB279" s="29">
        <f>HYPERLINK("[N Only New retention.xlsx]'Lake P Results'!O275", 579.401999999699)</f>
        <v>579.401999999699</v>
      </c>
      <c r="BC279" s="29">
        <f>HYPERLINK("[N Only with New retention and Differentiation.xlsx]'Lake P Results'!O275", 1005.55599999985)</f>
        <v>1005.55599999985</v>
      </c>
      <c r="BD279" s="46">
        <f>BB279-BA279</f>
        <v>328.86399999969899</v>
      </c>
      <c r="BE279" s="46">
        <f>BC279-BA279</f>
        <v>755.01799999984996</v>
      </c>
      <c r="BF279" s="29">
        <f>HYPERLINK("[N Only Old retention.xlsx]'Lake P Results'!R275", 564.943999999984)</f>
        <v>564.94399999998404</v>
      </c>
      <c r="BG279" s="29">
        <f>HYPERLINK("[N Only New retention.xlsx]'Lake P Results'!R275", 565.606)</f>
        <v>565.60599999999999</v>
      </c>
      <c r="BH279" s="29">
        <f>HYPERLINK("[N Only with New retention and Differentiation.xlsx]'Lake P Results'!R275", 565.868)</f>
        <v>565.86800000000005</v>
      </c>
      <c r="BI279" s="46">
        <f>BG279-BF279</f>
        <v>0.66200000001595072</v>
      </c>
      <c r="BJ279" s="46">
        <f>BH279-BF279</f>
        <v>0.92400000001600802</v>
      </c>
      <c r="BK279" s="29">
        <f>HYPERLINK("[N Only Old retention.xlsx]'Lake P Results'!Q275", 37.507999999917)</f>
        <v>37.507999999916997</v>
      </c>
      <c r="BL279" s="29">
        <f>HYPERLINK("[N Only New retention.xlsx]'Lake P Results'!Q275", 29.49)</f>
        <v>29.49</v>
      </c>
      <c r="BM279" s="29">
        <f>HYPERLINK("[N Only with New retention and Differentiation.xlsx]'Lake P Results'!Q275", 26.152)</f>
        <v>26.152000000000001</v>
      </c>
      <c r="BN279" s="47">
        <f>BL279-BK279</f>
        <v>-8.0179999999169986</v>
      </c>
      <c r="BO279" s="47">
        <f>BM279-BK279</f>
        <v>-11.355999999916996</v>
      </c>
    </row>
    <row r="280" spans="1:67" x14ac:dyDescent="0.55000000000000004">
      <c r="A280" s="30">
        <v>683</v>
      </c>
      <c r="B280" s="6" t="s">
        <v>588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27">
        <f>HYPERLINK("[N Only Old retention.xlsx]'Lake P Results'!M276", 189.68)</f>
        <v>189.68</v>
      </c>
      <c r="AW280" s="27">
        <f>HYPERLINK("[N Only New retention.xlsx]'Lake P Results'!M276", 179.783999999742)</f>
        <v>179.78399999974201</v>
      </c>
      <c r="AX280" s="18"/>
      <c r="AY280" s="47">
        <f>AW280-AV280</f>
        <v>-9.8960000002579989</v>
      </c>
      <c r="AZ280" s="47">
        <f>AX280-AV280</f>
        <v>-189.68</v>
      </c>
      <c r="BA280" s="27">
        <f>HYPERLINK("[N Only Old retention.xlsx]'Lake P Results'!O276", 79.98)</f>
        <v>79.98</v>
      </c>
      <c r="BB280" s="27">
        <f>HYPERLINK("[N Only New retention.xlsx]'Lake P Results'!O276", 57.2619999998881)</f>
        <v>57.261999999888097</v>
      </c>
      <c r="BC280" s="27">
        <f>HYPERLINK("[N Only with New retention and Differentiation.xlsx]'Lake P Results'!O276", 252.124)</f>
        <v>252.124</v>
      </c>
      <c r="BD280" s="47">
        <f>BB280-BA280</f>
        <v>-22.718000000111907</v>
      </c>
      <c r="BE280" s="46">
        <f>BC280-BA280</f>
        <v>172.14400000000001</v>
      </c>
      <c r="BF280" s="27">
        <f>HYPERLINK("[N Only Old retention.xlsx]'Lake P Results'!R276", 4.37)</f>
        <v>4.37</v>
      </c>
      <c r="BG280" s="27">
        <f>HYPERLINK("[N Only New retention.xlsx]'Lake P Results'!R276", 5.022)</f>
        <v>5.0220000000000002</v>
      </c>
      <c r="BH280" s="27">
        <f>HYPERLINK("[N Only with New retention and Differentiation.xlsx]'Lake P Results'!R276", 5.062)</f>
        <v>5.0620000000000003</v>
      </c>
      <c r="BI280" s="46">
        <f>BG280-BF280</f>
        <v>0.65200000000000014</v>
      </c>
      <c r="BJ280" s="46">
        <f>BH280-BF280</f>
        <v>0.69200000000000017</v>
      </c>
      <c r="BK280" s="27">
        <f>HYPERLINK("[N Only Old retention.xlsx]'Lake P Results'!Q276", 20.206)</f>
        <v>20.206</v>
      </c>
      <c r="BL280" s="27">
        <f>HYPERLINK("[N Only New retention.xlsx]'Lake P Results'!Q276", 27.026)</f>
        <v>27.026</v>
      </c>
      <c r="BM280" s="27">
        <f>HYPERLINK("[N Only with New retention and Differentiation.xlsx]'Lake P Results'!Q276", 27.026)</f>
        <v>27.026</v>
      </c>
      <c r="BN280" s="46">
        <f>BL280-BK280</f>
        <v>6.82</v>
      </c>
      <c r="BO280" s="46">
        <f>BM280-BK280</f>
        <v>6.82</v>
      </c>
    </row>
    <row r="281" spans="1:67" x14ac:dyDescent="0.55000000000000004">
      <c r="A281" s="31">
        <v>684</v>
      </c>
      <c r="B281" s="5" t="s">
        <v>589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29">
        <f>HYPERLINK("[N Only Old retention.xlsx]'Lake P Results'!M277", 235.064)</f>
        <v>235.06399999999999</v>
      </c>
      <c r="AW281" s="29">
        <f>HYPERLINK("[N Only New retention.xlsx]'Lake P Results'!M277", 764.929999999849)</f>
        <v>764.92999999984897</v>
      </c>
      <c r="AX281" s="13"/>
      <c r="AY281" s="46">
        <f>AW281-AV281</f>
        <v>529.86599999984901</v>
      </c>
      <c r="AZ281" s="47">
        <f>AX281-AV281</f>
        <v>-235.06399999999999</v>
      </c>
      <c r="BA281" s="29">
        <f>HYPERLINK("[N Only Old retention.xlsx]'Lake P Results'!O277", 127.55)</f>
        <v>127.55</v>
      </c>
      <c r="BB281" s="29">
        <f>HYPERLINK("[N Only New retention.xlsx]'Lake P Results'!O277", 110.766)</f>
        <v>110.76600000000001</v>
      </c>
      <c r="BC281" s="29">
        <f>HYPERLINK("[N Only with New retention and Differentiation.xlsx]'Lake P Results'!O277", 935.572)</f>
        <v>935.572</v>
      </c>
      <c r="BD281" s="47">
        <f>BB281-BA281</f>
        <v>-16.783999999999992</v>
      </c>
      <c r="BE281" s="46">
        <f>BC281-BA281</f>
        <v>808.02200000000005</v>
      </c>
      <c r="BF281" s="29">
        <f>HYPERLINK("[N Only Old retention.xlsx]'Lake P Results'!R277", 134.564)</f>
        <v>134.56399999999999</v>
      </c>
      <c r="BG281" s="29">
        <f>HYPERLINK("[N Only New retention.xlsx]'Lake P Results'!R277", 139.45)</f>
        <v>139.44999999999999</v>
      </c>
      <c r="BH281" s="29">
        <f>HYPERLINK("[N Only with New retention and Differentiation.xlsx]'Lake P Results'!R277", 139.45)</f>
        <v>139.44999999999999</v>
      </c>
      <c r="BI281" s="46">
        <f>BG281-BF281</f>
        <v>4.8859999999999957</v>
      </c>
      <c r="BJ281" s="46">
        <f>BH281-BF281</f>
        <v>4.8859999999999957</v>
      </c>
      <c r="BK281" s="29">
        <f>HYPERLINK("[N Only Old retention.xlsx]'Lake P Results'!Q277", 25.178)</f>
        <v>25.178000000000001</v>
      </c>
      <c r="BL281" s="29">
        <f>HYPERLINK("[N Only New retention.xlsx]'Lake P Results'!Q277", 15.27)</f>
        <v>15.27</v>
      </c>
      <c r="BM281" s="29">
        <f>HYPERLINK("[N Only with New retention and Differentiation.xlsx]'Lake P Results'!Q277", 14.38)</f>
        <v>14.38</v>
      </c>
      <c r="BN281" s="47">
        <f>BL281-BK281</f>
        <v>-9.9080000000000013</v>
      </c>
      <c r="BO281" s="47">
        <f>BM281-BK281</f>
        <v>-10.798</v>
      </c>
    </row>
    <row r="282" spans="1:67" x14ac:dyDescent="0.55000000000000004">
      <c r="A282" s="30">
        <v>685</v>
      </c>
      <c r="B282" s="6" t="s">
        <v>590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</row>
    <row r="283" spans="1:67" x14ac:dyDescent="0.55000000000000004">
      <c r="A283" s="31">
        <v>687</v>
      </c>
      <c r="B283" s="5" t="s">
        <v>591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29">
        <f>HYPERLINK("[N Only Old retention.xlsx]'Lake P Results'!R279", 1.16)</f>
        <v>1.1599999999999999</v>
      </c>
      <c r="BG283" s="29">
        <f>HYPERLINK("[N Only New retention.xlsx]'Lake P Results'!R279", 0.92)</f>
        <v>0.92</v>
      </c>
      <c r="BH283" s="29">
        <f>HYPERLINK("[N Only with New retention and Differentiation.xlsx]'Lake P Results'!R279", 0.92)</f>
        <v>0.92</v>
      </c>
      <c r="BI283" s="47">
        <f>BG283-BF283</f>
        <v>-0.23999999999999988</v>
      </c>
      <c r="BJ283" s="47">
        <f>BH283-BF283</f>
        <v>-0.23999999999999988</v>
      </c>
      <c r="BK283" s="13"/>
      <c r="BL283" s="13"/>
      <c r="BM283" s="13"/>
      <c r="BN283" s="13"/>
      <c r="BO283" s="13"/>
    </row>
    <row r="284" spans="1:67" x14ac:dyDescent="0.55000000000000004">
      <c r="A284" s="30">
        <v>688</v>
      </c>
      <c r="B284" s="6" t="s">
        <v>592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27">
        <f>HYPERLINK("[N Only New retention.xlsx]'Lake P Results'!R280", 0.0799999999999999)</f>
        <v>7.9999999999999905E-2</v>
      </c>
      <c r="BH284" s="27">
        <f>HYPERLINK("[N Only with New retention and Differentiation.xlsx]'Lake P Results'!R280", 0.0799999999999999)</f>
        <v>7.9999999999999905E-2</v>
      </c>
      <c r="BI284" s="46">
        <f>BG284-BF284</f>
        <v>7.9999999999999905E-2</v>
      </c>
      <c r="BJ284" s="46">
        <f>BH284-BF284</f>
        <v>7.9999999999999905E-2</v>
      </c>
      <c r="BK284" s="18"/>
      <c r="BL284" s="18"/>
      <c r="BM284" s="18"/>
      <c r="BN284" s="18"/>
      <c r="BO284" s="18"/>
    </row>
    <row r="285" spans="1:67" x14ac:dyDescent="0.55000000000000004">
      <c r="A285" s="31">
        <v>695</v>
      </c>
      <c r="B285" s="5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29">
        <f>HYPERLINK("[N Only Old retention.xlsx]'Lake P Results'!M281", 2.11)</f>
        <v>2.11</v>
      </c>
      <c r="AW285" s="13"/>
      <c r="AX285" s="13"/>
      <c r="AY285" s="47">
        <f>AW285-AV285</f>
        <v>-2.11</v>
      </c>
      <c r="AZ285" s="47">
        <f>AX285-AV285</f>
        <v>-2.11</v>
      </c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</row>
    <row r="286" spans="1:67" x14ac:dyDescent="0.55000000000000004">
      <c r="A286" s="30">
        <v>696</v>
      </c>
      <c r="B286" s="6" t="s">
        <v>593</v>
      </c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27">
        <f>HYPERLINK("[N Only New retention.xlsx]'Lake P Results'!Q282", 0.5)</f>
        <v>0.5</v>
      </c>
      <c r="BM286" s="18"/>
      <c r="BN286" s="46">
        <f>BL286-BK286</f>
        <v>0.5</v>
      </c>
      <c r="BO286" s="18"/>
    </row>
    <row r="287" spans="1:67" x14ac:dyDescent="0.55000000000000004">
      <c r="A287" s="31">
        <v>698</v>
      </c>
      <c r="B287" s="5" t="s">
        <v>594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29">
        <f>HYPERLINK("[N Only Old retention.xlsx]'Lake P Results'!R283", 0.19)</f>
        <v>0.19</v>
      </c>
      <c r="BG287" s="29">
        <f>HYPERLINK("[N Only New retention.xlsx]'Lake P Results'!R283", 0.844)</f>
        <v>0.84399999999999997</v>
      </c>
      <c r="BH287" s="29">
        <f>HYPERLINK("[N Only with New retention and Differentiation.xlsx]'Lake P Results'!R283", 0.844)</f>
        <v>0.84399999999999997</v>
      </c>
      <c r="BI287" s="46">
        <f>BG287-BF287</f>
        <v>0.65399999999999991</v>
      </c>
      <c r="BJ287" s="46">
        <f>BH287-BF287</f>
        <v>0.65399999999999991</v>
      </c>
      <c r="BK287" s="29">
        <f>HYPERLINK("[N Only Old retention.xlsx]'Lake P Results'!Q283", 0.538)</f>
        <v>0.53800000000000003</v>
      </c>
      <c r="BL287" s="29">
        <f>HYPERLINK("[N Only New retention.xlsx]'Lake P Results'!Q283", 1.558)</f>
        <v>1.5580000000000001</v>
      </c>
      <c r="BM287" s="29">
        <f>HYPERLINK("[N Only with New retention and Differentiation.xlsx]'Lake P Results'!Q283", 1.558)</f>
        <v>1.5580000000000001</v>
      </c>
      <c r="BN287" s="46">
        <f>BL287-BK287</f>
        <v>1.02</v>
      </c>
      <c r="BO287" s="46">
        <f>BM287-BK287</f>
        <v>1.02</v>
      </c>
    </row>
    <row r="288" spans="1:67" x14ac:dyDescent="0.55000000000000004">
      <c r="A288" s="30">
        <v>699</v>
      </c>
      <c r="B288" s="6" t="s">
        <v>595</v>
      </c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27">
        <f>HYPERLINK("[N Only Old retention.xlsx]'Lake P Results'!M284", 81.74)</f>
        <v>81.739999999999995</v>
      </c>
      <c r="AW288" s="27">
        <f>HYPERLINK("[N Only New retention.xlsx]'Lake P Results'!M284", 68.32)</f>
        <v>68.319999999999993</v>
      </c>
      <c r="AX288" s="18"/>
      <c r="AY288" s="47">
        <f>AW288-AV288</f>
        <v>-13.420000000000002</v>
      </c>
      <c r="AZ288" s="47">
        <f>AX288-AV288</f>
        <v>-81.739999999999995</v>
      </c>
      <c r="BA288" s="27">
        <f>HYPERLINK("[N Only Old retention.xlsx]'Lake P Results'!O284", 70.98)</f>
        <v>70.98</v>
      </c>
      <c r="BB288" s="27">
        <f>HYPERLINK("[N Only New retention.xlsx]'Lake P Results'!O284", 51.52)</f>
        <v>51.52</v>
      </c>
      <c r="BC288" s="27">
        <f>HYPERLINK("[N Only with New retention and Differentiation.xlsx]'Lake P Results'!O284", 137.44)</f>
        <v>137.44</v>
      </c>
      <c r="BD288" s="47">
        <f>BB288-BA288</f>
        <v>-19.46</v>
      </c>
      <c r="BE288" s="46">
        <f>BC288-BA288</f>
        <v>66.459999999999994</v>
      </c>
      <c r="BF288" s="27">
        <f>HYPERLINK("[N Only Old retention.xlsx]'Lake P Results'!R284", 49.666)</f>
        <v>49.665999999999997</v>
      </c>
      <c r="BG288" s="27">
        <f>HYPERLINK("[N Only New retention.xlsx]'Lake P Results'!R284", 49.966)</f>
        <v>49.966000000000001</v>
      </c>
      <c r="BH288" s="27">
        <f>HYPERLINK("[N Only with New retention and Differentiation.xlsx]'Lake P Results'!R284", 49.896)</f>
        <v>49.896000000000001</v>
      </c>
      <c r="BI288" s="46">
        <f>BG288-BF288</f>
        <v>0.30000000000000426</v>
      </c>
      <c r="BJ288" s="46">
        <f>BH288-BF288</f>
        <v>0.23000000000000398</v>
      </c>
      <c r="BK288" s="27">
        <f>HYPERLINK("[N Only Old retention.xlsx]'Lake P Results'!Q284", 4.84)</f>
        <v>4.84</v>
      </c>
      <c r="BL288" s="27">
        <f>HYPERLINK("[N Only New retention.xlsx]'Lake P Results'!Q284", 4.98)</f>
        <v>4.9800000000000004</v>
      </c>
      <c r="BM288" s="27">
        <f>HYPERLINK("[N Only with New retention and Differentiation.xlsx]'Lake P Results'!Q284", 4.98)</f>
        <v>4.9800000000000004</v>
      </c>
      <c r="BN288" s="46">
        <f>BL288-BK288</f>
        <v>0.14000000000000057</v>
      </c>
      <c r="BO288" s="46">
        <f>BM288-BK288</f>
        <v>0.14000000000000057</v>
      </c>
    </row>
    <row r="289" spans="1:67" x14ac:dyDescent="0.55000000000000004">
      <c r="A289" s="31">
        <v>700</v>
      </c>
      <c r="B289" s="5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</row>
    <row r="290" spans="1:67" x14ac:dyDescent="0.55000000000000004">
      <c r="A290" s="30">
        <v>703</v>
      </c>
      <c r="B290" s="6" t="s">
        <v>596</v>
      </c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27">
        <f>HYPERLINK("[N Only Old retention.xlsx]'Lake P Results'!O286", 15.5)</f>
        <v>15.5</v>
      </c>
      <c r="BB290" s="27">
        <f>HYPERLINK("[N Only New retention.xlsx]'Lake P Results'!O286", 23.7199999998424)</f>
        <v>23.7199999998424</v>
      </c>
      <c r="BC290" s="27">
        <f>HYPERLINK("[N Only with New retention and Differentiation.xlsx]'Lake P Results'!O286", 45.26)</f>
        <v>45.26</v>
      </c>
      <c r="BD290" s="46">
        <f>BB290-BA290</f>
        <v>8.2199999998424005</v>
      </c>
      <c r="BE290" s="46">
        <f>BC290-BA290</f>
        <v>29.759999999999998</v>
      </c>
      <c r="BF290" s="27">
        <f>HYPERLINK("[N Only Old retention.xlsx]'Lake P Results'!R286", 1.88)</f>
        <v>1.88</v>
      </c>
      <c r="BG290" s="27">
        <f>HYPERLINK("[N Only New retention.xlsx]'Lake P Results'!R286", 1.88)</f>
        <v>1.88</v>
      </c>
      <c r="BH290" s="27">
        <f>HYPERLINK("[N Only with New retention and Differentiation.xlsx]'Lake P Results'!R286", 1.88)</f>
        <v>1.88</v>
      </c>
      <c r="BI290" s="18"/>
      <c r="BJ290" s="18"/>
      <c r="BK290" s="27">
        <f>HYPERLINK("[N Only Old retention.xlsx]'Lake P Results'!Q286", 3.18000000000001)</f>
        <v>3.1800000000000099</v>
      </c>
      <c r="BL290" s="27">
        <f>HYPERLINK("[N Only New retention.xlsx]'Lake P Results'!Q286", 2.14)</f>
        <v>2.14</v>
      </c>
      <c r="BM290" s="27">
        <f>HYPERLINK("[N Only with New retention and Differentiation.xlsx]'Lake P Results'!Q286", 2.03)</f>
        <v>2.0299999999999998</v>
      </c>
      <c r="BN290" s="47">
        <f>BL290-BK290</f>
        <v>-1.0400000000000098</v>
      </c>
      <c r="BO290" s="47">
        <f>BM290-BK290</f>
        <v>-1.1500000000000101</v>
      </c>
    </row>
    <row r="291" spans="1:67" x14ac:dyDescent="0.55000000000000004">
      <c r="A291" s="31">
        <v>704</v>
      </c>
      <c r="B291" s="5" t="s">
        <v>597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29">
        <f>HYPERLINK("[N Only Old retention.xlsx]'Lake P Results'!R287", 4.91999999999167)</f>
        <v>4.9199999999916697</v>
      </c>
      <c r="BG291" s="29">
        <f>HYPERLINK("[N Only New retention.xlsx]'Lake P Results'!R287", 4.92)</f>
        <v>4.92</v>
      </c>
      <c r="BH291" s="29">
        <f>HYPERLINK("[N Only with New retention and Differentiation.xlsx]'Lake P Results'!R287", 4.92)</f>
        <v>4.92</v>
      </c>
      <c r="BI291" s="46">
        <f>BG291-BF291</f>
        <v>8.3302253983674746E-12</v>
      </c>
      <c r="BJ291" s="46">
        <f>BH291-BF291</f>
        <v>8.3302253983674746E-12</v>
      </c>
      <c r="BK291" s="13"/>
      <c r="BL291" s="13"/>
      <c r="BM291" s="13"/>
      <c r="BN291" s="13"/>
      <c r="BO291" s="13"/>
    </row>
    <row r="292" spans="1:67" x14ac:dyDescent="0.55000000000000004">
      <c r="A292" s="30">
        <v>709</v>
      </c>
      <c r="B292" s="6" t="s">
        <v>598</v>
      </c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27">
        <f>HYPERLINK("[N Only New retention.xlsx]'Lake P Results'!Z288", 0.08)</f>
        <v>0.08</v>
      </c>
      <c r="AD292" s="27">
        <f>HYPERLINK("[N Only with New retention and Differentiation.xlsx]'Lake P Results'!Z288", 0.08)</f>
        <v>0.08</v>
      </c>
      <c r="AE292" s="46">
        <f>AC292-AB292</f>
        <v>0.08</v>
      </c>
      <c r="AF292" s="46">
        <f>AD292-AB292</f>
        <v>0.08</v>
      </c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27">
        <f>HYPERLINK("[N Only Old retention.xlsx]'Lake P Results'!M288", 186.06)</f>
        <v>186.06</v>
      </c>
      <c r="AW292" s="27">
        <f>HYPERLINK("[N Only New retention.xlsx]'Lake P Results'!M288", 309.66)</f>
        <v>309.66000000000003</v>
      </c>
      <c r="AX292" s="18"/>
      <c r="AY292" s="46">
        <f>AW292-AV292</f>
        <v>123.60000000000002</v>
      </c>
      <c r="AZ292" s="47">
        <f>AX292-AV292</f>
        <v>-186.06</v>
      </c>
      <c r="BA292" s="27">
        <f>HYPERLINK("[N Only Old retention.xlsx]'Lake P Results'!O288", 60.11)</f>
        <v>60.11</v>
      </c>
      <c r="BB292" s="27">
        <f>HYPERLINK("[N Only New retention.xlsx]'Lake P Results'!O288", 42.97)</f>
        <v>42.97</v>
      </c>
      <c r="BC292" s="27">
        <f>HYPERLINK("[N Only with New retention and Differentiation.xlsx]'Lake P Results'!O288", 378.202)</f>
        <v>378.202</v>
      </c>
      <c r="BD292" s="47">
        <f>BB292-BA292</f>
        <v>-17.14</v>
      </c>
      <c r="BE292" s="46">
        <f>BC292-BA292</f>
        <v>318.09199999999998</v>
      </c>
      <c r="BF292" s="27">
        <f>HYPERLINK("[N Only Old retention.xlsx]'Lake P Results'!R288", 55.7140349672182)</f>
        <v>55.714034967218197</v>
      </c>
      <c r="BG292" s="27">
        <f>HYPERLINK("[N Only New retention.xlsx]'Lake P Results'!R288", 55.5440349672182)</f>
        <v>55.544034967218202</v>
      </c>
      <c r="BH292" s="27">
        <f>HYPERLINK("[N Only with New retention and Differentiation.xlsx]'Lake P Results'!R288", 55.5440349672182)</f>
        <v>55.544034967218202</v>
      </c>
      <c r="BI292" s="47">
        <f>BG292-BF292</f>
        <v>-0.1699999999999946</v>
      </c>
      <c r="BJ292" s="47">
        <f>BH292-BF292</f>
        <v>-0.1699999999999946</v>
      </c>
      <c r="BK292" s="27">
        <f>HYPERLINK("[N Only Old retention.xlsx]'Lake P Results'!Q288", 7.152)</f>
        <v>7.1520000000000001</v>
      </c>
      <c r="BL292" s="27">
        <f>HYPERLINK("[N Only New retention.xlsx]'Lake P Results'!Q288", 27.002)</f>
        <v>27.001999999999999</v>
      </c>
      <c r="BM292" s="27">
        <f>HYPERLINK("[N Only with New retention and Differentiation.xlsx]'Lake P Results'!Q288", 27.002)</f>
        <v>27.001999999999999</v>
      </c>
      <c r="BN292" s="46">
        <f>BL292-BK292</f>
        <v>19.849999999999998</v>
      </c>
      <c r="BO292" s="46">
        <f>BM292-BK292</f>
        <v>19.849999999999998</v>
      </c>
    </row>
    <row r="293" spans="1:67" x14ac:dyDescent="0.55000000000000004">
      <c r="A293" s="31">
        <v>712</v>
      </c>
      <c r="B293" s="5" t="s">
        <v>599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29">
        <f>HYPERLINK("[N Only Old retention.xlsx]'Lake P Results'!R289", 0.612)</f>
        <v>0.61199999999999999</v>
      </c>
      <c r="BG293" s="29">
        <f>HYPERLINK("[N Only New retention.xlsx]'Lake P Results'!R289", 0.468)</f>
        <v>0.46800000000000003</v>
      </c>
      <c r="BH293" s="29">
        <f>HYPERLINK("[N Only with New retention and Differentiation.xlsx]'Lake P Results'!R289", 0.468)</f>
        <v>0.46800000000000003</v>
      </c>
      <c r="BI293" s="47">
        <f>BG293-BF293</f>
        <v>-0.14399999999999996</v>
      </c>
      <c r="BJ293" s="47">
        <f>BH293-BF293</f>
        <v>-0.14399999999999996</v>
      </c>
      <c r="BK293" s="13"/>
      <c r="BL293" s="13"/>
      <c r="BM293" s="13"/>
      <c r="BN293" s="13"/>
      <c r="BO293" s="13"/>
    </row>
    <row r="294" spans="1:67" x14ac:dyDescent="0.55000000000000004">
      <c r="A294" s="30">
        <v>714</v>
      </c>
      <c r="B294" s="6" t="s">
        <v>600</v>
      </c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</row>
    <row r="295" spans="1:67" x14ac:dyDescent="0.55000000000000004">
      <c r="A295" s="31">
        <v>716</v>
      </c>
      <c r="B295" s="5" t="s">
        <v>601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</row>
    <row r="296" spans="1:67" x14ac:dyDescent="0.55000000000000004">
      <c r="A296" s="30">
        <v>717</v>
      </c>
      <c r="B296" s="6" t="s">
        <v>602</v>
      </c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27">
        <f>HYPERLINK("[N Only Old retention.xlsx]'Lake P Results'!R292", 0.499999999999999)</f>
        <v>0.499999999999999</v>
      </c>
      <c r="BG296" s="27">
        <f>HYPERLINK("[N Only New retention.xlsx]'Lake P Results'!R292", 0.499999999999999)</f>
        <v>0.499999999999999</v>
      </c>
      <c r="BH296" s="27">
        <f>HYPERLINK("[N Only with New retention and Differentiation.xlsx]'Lake P Results'!R292", 0.499999999999999)</f>
        <v>0.499999999999999</v>
      </c>
      <c r="BI296" s="18"/>
      <c r="BJ296" s="18"/>
      <c r="BK296" s="18"/>
      <c r="BL296" s="18"/>
      <c r="BM296" s="18"/>
      <c r="BN296" s="18"/>
      <c r="BO296" s="18"/>
    </row>
    <row r="297" spans="1:67" x14ac:dyDescent="0.55000000000000004">
      <c r="A297" s="31">
        <v>718</v>
      </c>
      <c r="B297" s="5" t="s">
        <v>603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29">
        <f>HYPERLINK("[N Only Old retention.xlsx]'Lake P Results'!M293", 97.6179999999367)</f>
        <v>97.6179999999367</v>
      </c>
      <c r="AW297" s="29">
        <f>HYPERLINK("[N Only New retention.xlsx]'Lake P Results'!M293", 91.898)</f>
        <v>91.897999999999996</v>
      </c>
      <c r="AX297" s="13"/>
      <c r="AY297" s="47">
        <f>AW297-AV297</f>
        <v>-5.7199999999367037</v>
      </c>
      <c r="AZ297" s="47">
        <f>AX297-AV297</f>
        <v>-97.6179999999367</v>
      </c>
      <c r="BA297" s="29">
        <f>HYPERLINK("[N Only Old retention.xlsx]'Lake P Results'!O293", 10.464)</f>
        <v>10.464</v>
      </c>
      <c r="BB297" s="29">
        <f>HYPERLINK("[N Only New retention.xlsx]'Lake P Results'!O293", 10.464)</f>
        <v>10.464</v>
      </c>
      <c r="BC297" s="29">
        <f>HYPERLINK("[N Only with New retention and Differentiation.xlsx]'Lake P Results'!O293", 108.862)</f>
        <v>108.86199999999999</v>
      </c>
      <c r="BD297" s="13"/>
      <c r="BE297" s="46">
        <f>BC297-BA297</f>
        <v>98.397999999999996</v>
      </c>
      <c r="BF297" s="29">
        <f>HYPERLINK("[N Only Old retention.xlsx]'Lake P Results'!R293", 207.84)</f>
        <v>207.84</v>
      </c>
      <c r="BG297" s="29">
        <f>HYPERLINK("[N Only New retention.xlsx]'Lake P Results'!R293", 207.912)</f>
        <v>207.91200000000001</v>
      </c>
      <c r="BH297" s="29">
        <f>HYPERLINK("[N Only with New retention and Differentiation.xlsx]'Lake P Results'!R293", 207.912)</f>
        <v>207.91200000000001</v>
      </c>
      <c r="BI297" s="46">
        <f>BG297-BF297</f>
        <v>7.2000000000002728E-2</v>
      </c>
      <c r="BJ297" s="46">
        <f>BH297-BF297</f>
        <v>7.2000000000002728E-2</v>
      </c>
      <c r="BK297" s="13"/>
      <c r="BL297" s="13"/>
      <c r="BM297" s="13"/>
      <c r="BN297" s="13"/>
      <c r="BO297" s="13"/>
    </row>
    <row r="298" spans="1:67" x14ac:dyDescent="0.55000000000000004">
      <c r="A298" s="30">
        <v>719</v>
      </c>
      <c r="B298" s="6" t="s">
        <v>604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</row>
    <row r="299" spans="1:67" x14ac:dyDescent="0.55000000000000004">
      <c r="A299" s="31">
        <v>720</v>
      </c>
      <c r="B299" s="5" t="s">
        <v>605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29">
        <f>HYPERLINK("[N Only Old retention.xlsx]'Lake P Results'!R295", 7.592)</f>
        <v>7.5919999999999996</v>
      </c>
      <c r="BG299" s="29">
        <f>HYPERLINK("[N Only New retention.xlsx]'Lake P Results'!R295", 7.682)</f>
        <v>7.6820000000000004</v>
      </c>
      <c r="BH299" s="29">
        <f>HYPERLINK("[N Only with New retention and Differentiation.xlsx]'Lake P Results'!R295", 7.682)</f>
        <v>7.6820000000000004</v>
      </c>
      <c r="BI299" s="46">
        <f>BG299-BF299</f>
        <v>9.0000000000000746E-2</v>
      </c>
      <c r="BJ299" s="46">
        <f>BH299-BF299</f>
        <v>9.0000000000000746E-2</v>
      </c>
      <c r="BK299" s="13"/>
      <c r="BL299" s="13"/>
      <c r="BM299" s="13"/>
      <c r="BN299" s="13"/>
      <c r="BO299" s="13"/>
    </row>
    <row r="300" spans="1:67" x14ac:dyDescent="0.55000000000000004">
      <c r="A300" s="30">
        <v>722</v>
      </c>
      <c r="B300" s="6" t="s">
        <v>606</v>
      </c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</row>
    <row r="301" spans="1:67" x14ac:dyDescent="0.55000000000000004">
      <c r="A301" s="31">
        <v>723</v>
      </c>
      <c r="B301" s="5" t="s">
        <v>607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29">
        <f>HYPERLINK("[N Only Old retention.xlsx]'Lake P Results'!M297", 6.46)</f>
        <v>6.46</v>
      </c>
      <c r="AW301" s="29">
        <f>HYPERLINK("[N Only New retention.xlsx]'Lake P Results'!M297", 87.376)</f>
        <v>87.376000000000005</v>
      </c>
      <c r="AX301" s="13"/>
      <c r="AY301" s="46">
        <f>AW301-AV301</f>
        <v>80.916000000000011</v>
      </c>
      <c r="AZ301" s="47">
        <f>AX301-AV301</f>
        <v>-6.46</v>
      </c>
      <c r="BA301" s="29">
        <f>HYPERLINK("[N Only Old retention.xlsx]'Lake P Results'!O297", 91.456)</f>
        <v>91.456000000000003</v>
      </c>
      <c r="BB301" s="29">
        <f>HYPERLINK("[N Only New retention.xlsx]'Lake P Results'!O297", 73.34)</f>
        <v>73.34</v>
      </c>
      <c r="BC301" s="29">
        <f>HYPERLINK("[N Only with New retention and Differentiation.xlsx]'Lake P Results'!O297", 166.02)</f>
        <v>166.02</v>
      </c>
      <c r="BD301" s="47">
        <f>BB301-BA301</f>
        <v>-18.116</v>
      </c>
      <c r="BE301" s="46">
        <f>BC301-BA301</f>
        <v>74.564000000000007</v>
      </c>
      <c r="BF301" s="29">
        <f>HYPERLINK("[N Only Old retention.xlsx]'Lake P Results'!R297", 0.0079999999999999)</f>
        <v>7.9999999999998996E-3</v>
      </c>
      <c r="BG301" s="29">
        <f>HYPERLINK("[N Only New retention.xlsx]'Lake P Results'!R297", 0.0079999999999999)</f>
        <v>7.9999999999998996E-3</v>
      </c>
      <c r="BH301" s="29">
        <f>HYPERLINK("[N Only with New retention and Differentiation.xlsx]'Lake P Results'!R297", 0.0079999999999999)</f>
        <v>7.9999999999998996E-3</v>
      </c>
      <c r="BI301" s="13"/>
      <c r="BJ301" s="13"/>
      <c r="BK301" s="29">
        <f>HYPERLINK("[N Only Old retention.xlsx]'Lake P Results'!Q297", 1.24)</f>
        <v>1.24</v>
      </c>
      <c r="BL301" s="29">
        <f>HYPERLINK("[N Only New retention.xlsx]'Lake P Results'!Q297", 0.850000000000002)</f>
        <v>0.85000000000000198</v>
      </c>
      <c r="BM301" s="13"/>
      <c r="BN301" s="47">
        <f>BL301-BK301</f>
        <v>-0.38999999999999801</v>
      </c>
      <c r="BO301" s="47">
        <f>BM301-BK301</f>
        <v>-1.24</v>
      </c>
    </row>
    <row r="302" spans="1:67" x14ac:dyDescent="0.55000000000000004">
      <c r="A302" s="30">
        <v>725</v>
      </c>
      <c r="B302" s="6" t="s">
        <v>608</v>
      </c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27">
        <f>HYPERLINK("[N Only Old retention.xlsx]'Lake P Results'!R298", 2.086)</f>
        <v>2.0859999999999999</v>
      </c>
      <c r="BG302" s="27">
        <f>HYPERLINK("[N Only New retention.xlsx]'Lake P Results'!R298", 2.054)</f>
        <v>2.0539999999999998</v>
      </c>
      <c r="BH302" s="27">
        <f>HYPERLINK("[N Only with New retention and Differentiation.xlsx]'Lake P Results'!R298", 2.054)</f>
        <v>2.0539999999999998</v>
      </c>
      <c r="BI302" s="47">
        <f>BG302-BF302</f>
        <v>-3.2000000000000028E-2</v>
      </c>
      <c r="BJ302" s="47">
        <f>BH302-BF302</f>
        <v>-3.2000000000000028E-2</v>
      </c>
      <c r="BK302" s="18"/>
      <c r="BL302" s="18"/>
      <c r="BM302" s="18"/>
      <c r="BN302" s="18"/>
      <c r="BO302" s="18"/>
    </row>
    <row r="303" spans="1:67" x14ac:dyDescent="0.55000000000000004">
      <c r="A303" s="31">
        <v>726</v>
      </c>
      <c r="B303" s="5" t="s">
        <v>609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</row>
    <row r="304" spans="1:67" x14ac:dyDescent="0.55000000000000004">
      <c r="A304" s="30">
        <v>727</v>
      </c>
      <c r="B304" s="6" t="s">
        <v>610</v>
      </c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</row>
    <row r="305" spans="1:67" x14ac:dyDescent="0.55000000000000004">
      <c r="A305" s="31">
        <v>729</v>
      </c>
      <c r="B305" s="5" t="s">
        <v>611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29">
        <f>HYPERLINK("[N Only Old retention.xlsx]'Lake P Results'!R301", 1.3)</f>
        <v>1.3</v>
      </c>
      <c r="BG305" s="29">
        <f>HYPERLINK("[N Only New retention.xlsx]'Lake P Results'!R301", 1.27)</f>
        <v>1.27</v>
      </c>
      <c r="BH305" s="29">
        <f>HYPERLINK("[N Only with New retention and Differentiation.xlsx]'Lake P Results'!R301", 1.27)</f>
        <v>1.27</v>
      </c>
      <c r="BI305" s="47">
        <f>BG305-BF305</f>
        <v>-3.0000000000000027E-2</v>
      </c>
      <c r="BJ305" s="47">
        <f>BH305-BF305</f>
        <v>-3.0000000000000027E-2</v>
      </c>
      <c r="BK305" s="13"/>
      <c r="BL305" s="13"/>
      <c r="BM305" s="13"/>
      <c r="BN305" s="13"/>
      <c r="BO305" s="13"/>
    </row>
    <row r="306" spans="1:67" x14ac:dyDescent="0.55000000000000004">
      <c r="A306" s="30">
        <v>730</v>
      </c>
      <c r="B306" s="6" t="s">
        <v>612</v>
      </c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</row>
    <row r="307" spans="1:67" x14ac:dyDescent="0.55000000000000004">
      <c r="A307" s="31">
        <v>732</v>
      </c>
      <c r="B307" s="5" t="s">
        <v>613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29">
        <f>HYPERLINK("[N Only Old retention.xlsx]'Lake P Results'!R303", 0.62)</f>
        <v>0.62</v>
      </c>
      <c r="BG307" s="29">
        <f>HYPERLINK("[N Only New retention.xlsx]'Lake P Results'!R303", 0.62)</f>
        <v>0.62</v>
      </c>
      <c r="BH307" s="29">
        <f>HYPERLINK("[N Only with New retention and Differentiation.xlsx]'Lake P Results'!R303", 0.62)</f>
        <v>0.62</v>
      </c>
      <c r="BI307" s="13"/>
      <c r="BJ307" s="13"/>
      <c r="BK307" s="13"/>
      <c r="BL307" s="13"/>
      <c r="BM307" s="13"/>
      <c r="BN307" s="13"/>
      <c r="BO307" s="13"/>
    </row>
    <row r="308" spans="1:67" x14ac:dyDescent="0.55000000000000004">
      <c r="A308" s="30">
        <v>736</v>
      </c>
      <c r="B308" s="6" t="s">
        <v>614</v>
      </c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27">
        <f>HYPERLINK("[N Only Old retention.xlsx]'Lake P Results'!O304", 13.322)</f>
        <v>13.321999999999999</v>
      </c>
      <c r="BB308" s="18"/>
      <c r="BC308" s="18"/>
      <c r="BD308" s="47">
        <f>BB308-BA308</f>
        <v>-13.321999999999999</v>
      </c>
      <c r="BE308" s="47">
        <f>BC308-BA308</f>
        <v>-13.321999999999999</v>
      </c>
      <c r="BF308" s="27">
        <f>HYPERLINK("[N Only Old retention.xlsx]'Lake P Results'!R304", 0.02)</f>
        <v>0.02</v>
      </c>
      <c r="BG308" s="27">
        <f>HYPERLINK("[N Only New retention.xlsx]'Lake P Results'!R304", 0.02)</f>
        <v>0.02</v>
      </c>
      <c r="BH308" s="27">
        <f>HYPERLINK("[N Only with New retention and Differentiation.xlsx]'Lake P Results'!R304", 0.02)</f>
        <v>0.02</v>
      </c>
      <c r="BI308" s="18"/>
      <c r="BJ308" s="18"/>
      <c r="BK308" s="18"/>
      <c r="BL308" s="27">
        <f>HYPERLINK("[N Only New retention.xlsx]'Lake P Results'!Q304", 0.99)</f>
        <v>0.99</v>
      </c>
      <c r="BM308" s="27">
        <f>HYPERLINK("[N Only with New retention and Differentiation.xlsx]'Lake P Results'!Q304", 0.99)</f>
        <v>0.99</v>
      </c>
      <c r="BN308" s="46">
        <f>BL308-BK308</f>
        <v>0.99</v>
      </c>
      <c r="BO308" s="46">
        <f>BM308-BK308</f>
        <v>0.99</v>
      </c>
    </row>
    <row r="309" spans="1:67" x14ac:dyDescent="0.55000000000000004">
      <c r="A309" s="31">
        <v>739</v>
      </c>
      <c r="B309" s="5" t="s">
        <v>615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</row>
    <row r="310" spans="1:67" x14ac:dyDescent="0.55000000000000004">
      <c r="A310" s="30">
        <v>740</v>
      </c>
      <c r="B310" s="6" t="s">
        <v>616</v>
      </c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</row>
    <row r="311" spans="1:67" x14ac:dyDescent="0.55000000000000004">
      <c r="A311" s="31">
        <v>741</v>
      </c>
      <c r="B311" s="5" t="s">
        <v>617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</row>
    <row r="312" spans="1:67" x14ac:dyDescent="0.55000000000000004">
      <c r="A312" s="30">
        <v>742</v>
      </c>
      <c r="B312" s="6" t="s">
        <v>618</v>
      </c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</row>
    <row r="313" spans="1:67" x14ac:dyDescent="0.55000000000000004">
      <c r="A313" s="31">
        <v>744</v>
      </c>
      <c r="B313" s="5" t="s">
        <v>619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29">
        <f>HYPERLINK("[N Only Old retention.xlsx]'Lake P Results'!R309", 0.11)</f>
        <v>0.11</v>
      </c>
      <c r="BG313" s="29">
        <f>HYPERLINK("[N Only New retention.xlsx]'Lake P Results'!R309", 0.11)</f>
        <v>0.11</v>
      </c>
      <c r="BH313" s="29">
        <f>HYPERLINK("[N Only with New retention and Differentiation.xlsx]'Lake P Results'!R309", 0.11)</f>
        <v>0.11</v>
      </c>
      <c r="BI313" s="13"/>
      <c r="BJ313" s="13"/>
      <c r="BK313" s="13"/>
      <c r="BL313" s="29">
        <f>HYPERLINK("[N Only New retention.xlsx]'Lake P Results'!Q309", 1)</f>
        <v>1</v>
      </c>
      <c r="BM313" s="29">
        <f>HYPERLINK("[N Only with New retention and Differentiation.xlsx]'Lake P Results'!Q309", 1)</f>
        <v>1</v>
      </c>
      <c r="BN313" s="46">
        <f>BL313-BK313</f>
        <v>1</v>
      </c>
      <c r="BO313" s="46">
        <f>BM313-BK313</f>
        <v>1</v>
      </c>
    </row>
    <row r="314" spans="1:67" x14ac:dyDescent="0.55000000000000004">
      <c r="A314" s="30">
        <v>745</v>
      </c>
      <c r="B314" s="6" t="s">
        <v>620</v>
      </c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</row>
    <row r="315" spans="1:67" x14ac:dyDescent="0.55000000000000004">
      <c r="A315" s="31">
        <v>746</v>
      </c>
      <c r="B315" s="5" t="s">
        <v>621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</row>
    <row r="316" spans="1:67" x14ac:dyDescent="0.55000000000000004">
      <c r="A316" s="30">
        <v>748</v>
      </c>
      <c r="B316" s="6" t="s">
        <v>622</v>
      </c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</row>
    <row r="317" spans="1:67" x14ac:dyDescent="0.55000000000000004">
      <c r="A317" s="31">
        <v>749</v>
      </c>
      <c r="B317" s="5" t="s">
        <v>623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</row>
    <row r="318" spans="1:67" x14ac:dyDescent="0.55000000000000004">
      <c r="A318" s="30">
        <v>751</v>
      </c>
      <c r="B318" s="6" t="s">
        <v>624</v>
      </c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27">
        <f>HYPERLINK("[N Only Old retention.xlsx]'Lake P Results'!R314", 0.28)</f>
        <v>0.28000000000000003</v>
      </c>
      <c r="BG318" s="27">
        <f>HYPERLINK("[N Only New retention.xlsx]'Lake P Results'!R314", 0.28)</f>
        <v>0.28000000000000003</v>
      </c>
      <c r="BH318" s="27">
        <f>HYPERLINK("[N Only with New retention and Differentiation.xlsx]'Lake P Results'!R314", 0.28)</f>
        <v>0.28000000000000003</v>
      </c>
      <c r="BI318" s="18"/>
      <c r="BJ318" s="18"/>
      <c r="BK318" s="27">
        <f>HYPERLINK("[N Only Old retention.xlsx]'Lake P Results'!Q314", 0.59)</f>
        <v>0.59</v>
      </c>
      <c r="BL318" s="27">
        <f>HYPERLINK("[N Only New retention.xlsx]'Lake P Results'!Q314", 0.59)</f>
        <v>0.59</v>
      </c>
      <c r="BM318" s="27">
        <f>HYPERLINK("[N Only with New retention and Differentiation.xlsx]'Lake P Results'!Q314", 0.59)</f>
        <v>0.59</v>
      </c>
      <c r="BN318" s="18"/>
      <c r="BO318" s="18"/>
    </row>
    <row r="319" spans="1:67" x14ac:dyDescent="0.55000000000000004">
      <c r="A319" s="31">
        <v>752</v>
      </c>
      <c r="B319" s="5" t="s">
        <v>625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</row>
    <row r="320" spans="1:67" x14ac:dyDescent="0.55000000000000004">
      <c r="A320" s="30">
        <v>754</v>
      </c>
      <c r="B320" s="6" t="s">
        <v>626</v>
      </c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</row>
    <row r="321" spans="1:67" x14ac:dyDescent="0.55000000000000004">
      <c r="A321" s="31">
        <v>756</v>
      </c>
      <c r="B321" s="5" t="s">
        <v>627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</row>
    <row r="322" spans="1:67" x14ac:dyDescent="0.55000000000000004">
      <c r="A322" s="30">
        <v>757</v>
      </c>
      <c r="B322" s="6" t="s">
        <v>628</v>
      </c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</row>
    <row r="323" spans="1:67" x14ac:dyDescent="0.55000000000000004">
      <c r="A323" s="31">
        <v>758</v>
      </c>
      <c r="B323" s="5" t="s">
        <v>629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29">
        <f>HYPERLINK("[N Only New retention.xlsx]'Lake P Results'!M319", 42.7)</f>
        <v>42.7</v>
      </c>
      <c r="AX323" s="13"/>
      <c r="AY323" s="46">
        <f>AW323-AV323</f>
        <v>42.7</v>
      </c>
      <c r="AZ323" s="13"/>
      <c r="BA323" s="29">
        <f>HYPERLINK("[N Only Old retention.xlsx]'Lake P Results'!O319", 36.15)</f>
        <v>36.15</v>
      </c>
      <c r="BB323" s="29">
        <f>HYPERLINK("[N Only New retention.xlsx]'Lake P Results'!O319", 35.97)</f>
        <v>35.97</v>
      </c>
      <c r="BC323" s="29">
        <f>HYPERLINK("[N Only with New retention and Differentiation.xlsx]'Lake P Results'!O319", 120.27)</f>
        <v>120.27</v>
      </c>
      <c r="BD323" s="47">
        <f>BB323-BA323</f>
        <v>-0.17999999999999972</v>
      </c>
      <c r="BE323" s="46">
        <f>BC323-BA323</f>
        <v>84.12</v>
      </c>
      <c r="BF323" s="29">
        <f>HYPERLINK("[N Only Old retention.xlsx]'Lake P Results'!R319", 0.428)</f>
        <v>0.42799999999999999</v>
      </c>
      <c r="BG323" s="29">
        <f>HYPERLINK("[N Only New retention.xlsx]'Lake P Results'!R319", 0.428)</f>
        <v>0.42799999999999999</v>
      </c>
      <c r="BH323" s="29">
        <f>HYPERLINK("[N Only with New retention and Differentiation.xlsx]'Lake P Results'!R319", 0.428)</f>
        <v>0.42799999999999999</v>
      </c>
      <c r="BI323" s="13"/>
      <c r="BJ323" s="13"/>
      <c r="BK323" s="29">
        <f>HYPERLINK("[N Only Old retention.xlsx]'Lake P Results'!Q319", 0.899999999999998)</f>
        <v>0.89999999999999802</v>
      </c>
      <c r="BL323" s="29">
        <f>HYPERLINK("[N Only New retention.xlsx]'Lake P Results'!Q319", 0.949999999999998)</f>
        <v>0.94999999999999796</v>
      </c>
      <c r="BM323" s="29">
        <f>HYPERLINK("[N Only with New retention and Differentiation.xlsx]'Lake P Results'!Q319", 0.38)</f>
        <v>0.38</v>
      </c>
      <c r="BN323" s="46">
        <f>BL323-BK323</f>
        <v>4.9999999999999933E-2</v>
      </c>
      <c r="BO323" s="47">
        <f>BM323-BK323</f>
        <v>-0.51999999999999802</v>
      </c>
    </row>
    <row r="324" spans="1:67" x14ac:dyDescent="0.55000000000000004">
      <c r="A324" s="30">
        <v>762</v>
      </c>
      <c r="B324" s="6" t="s">
        <v>630</v>
      </c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</row>
    <row r="325" spans="1:67" x14ac:dyDescent="0.55000000000000004">
      <c r="A325" s="31">
        <v>763</v>
      </c>
      <c r="B325" s="5" t="s">
        <v>631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</row>
    <row r="326" spans="1:67" x14ac:dyDescent="0.55000000000000004">
      <c r="A326" s="30">
        <v>765</v>
      </c>
      <c r="B326" s="6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</row>
    <row r="327" spans="1:67" x14ac:dyDescent="0.55000000000000004">
      <c r="A327" s="31">
        <v>766</v>
      </c>
      <c r="B327" s="5" t="s">
        <v>632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</row>
    <row r="328" spans="1:67" x14ac:dyDescent="0.55000000000000004">
      <c r="A328" s="30">
        <v>777</v>
      </c>
      <c r="B328" s="6" t="s">
        <v>633</v>
      </c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</row>
    <row r="329" spans="1:67" x14ac:dyDescent="0.55000000000000004">
      <c r="A329" s="31">
        <v>779</v>
      </c>
      <c r="B329" s="5" t="s">
        <v>634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29">
        <f>HYPERLINK("[N Only New retention.xlsx]'Lake P Results'!O325", 3.75)</f>
        <v>3.75</v>
      </c>
      <c r="BC329" s="29">
        <f>HYPERLINK("[N Only with New retention and Differentiation.xlsx]'Lake P Results'!O325", 3.75)</f>
        <v>3.75</v>
      </c>
      <c r="BD329" s="46">
        <f>BB329-BA329</f>
        <v>3.75</v>
      </c>
      <c r="BE329" s="46">
        <f>BC329-BA329</f>
        <v>3.75</v>
      </c>
      <c r="BF329" s="13"/>
      <c r="BG329" s="13"/>
      <c r="BH329" s="13"/>
      <c r="BI329" s="13"/>
      <c r="BJ329" s="13"/>
      <c r="BK329" s="29">
        <f>HYPERLINK("[N Only Old retention.xlsx]'Lake P Results'!Q325", 1.28)</f>
        <v>1.28</v>
      </c>
      <c r="BL329" s="29">
        <f>HYPERLINK("[N Only New retention.xlsx]'Lake P Results'!Q325", 1.28)</f>
        <v>1.28</v>
      </c>
      <c r="BM329" s="29">
        <f>HYPERLINK("[N Only with New retention and Differentiation.xlsx]'Lake P Results'!Q325", 1.28)</f>
        <v>1.28</v>
      </c>
      <c r="BN329" s="13"/>
      <c r="BO329" s="13"/>
    </row>
    <row r="330" spans="1:67" x14ac:dyDescent="0.55000000000000004">
      <c r="A330" s="30">
        <v>782</v>
      </c>
      <c r="B330" s="6" t="s">
        <v>635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</row>
    <row r="331" spans="1:67" x14ac:dyDescent="0.55000000000000004">
      <c r="A331" s="31">
        <v>783</v>
      </c>
      <c r="B331" s="5" t="s">
        <v>636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</row>
    <row r="332" spans="1:67" x14ac:dyDescent="0.55000000000000004">
      <c r="A332" s="30">
        <v>786</v>
      </c>
      <c r="B332" s="6" t="s">
        <v>637</v>
      </c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</row>
    <row r="333" spans="1:67" x14ac:dyDescent="0.55000000000000004">
      <c r="A333" s="31">
        <v>788</v>
      </c>
      <c r="B333" s="5" t="s">
        <v>638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</row>
    <row r="334" spans="1:67" x14ac:dyDescent="0.55000000000000004">
      <c r="A334" s="30">
        <v>789</v>
      </c>
      <c r="B334" s="6" t="s">
        <v>639</v>
      </c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</row>
    <row r="335" spans="1:67" x14ac:dyDescent="0.55000000000000004">
      <c r="A335" s="31">
        <v>793</v>
      </c>
      <c r="B335" s="5" t="s">
        <v>640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</row>
    <row r="336" spans="1:67" x14ac:dyDescent="0.55000000000000004">
      <c r="A336" s="30">
        <v>794</v>
      </c>
      <c r="B336" s="6" t="s">
        <v>641</v>
      </c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</row>
    <row r="337" spans="1:67" x14ac:dyDescent="0.55000000000000004">
      <c r="A337" s="31">
        <v>796</v>
      </c>
      <c r="B337" s="5" t="s">
        <v>642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</row>
    <row r="338" spans="1:67" x14ac:dyDescent="0.55000000000000004">
      <c r="A338" s="30">
        <v>800</v>
      </c>
      <c r="B338" s="6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</row>
    <row r="339" spans="1:67" x14ac:dyDescent="0.55000000000000004">
      <c r="A339" s="31">
        <v>802</v>
      </c>
      <c r="B339" s="5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</row>
    <row r="340" spans="1:67" x14ac:dyDescent="0.55000000000000004">
      <c r="A340" s="30">
        <v>805</v>
      </c>
      <c r="B340" s="6" t="s">
        <v>643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</row>
    <row r="341" spans="1:67" x14ac:dyDescent="0.55000000000000004">
      <c r="A341" s="31">
        <v>810</v>
      </c>
      <c r="B341" s="5" t="s">
        <v>644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</row>
    <row r="342" spans="1:67" x14ac:dyDescent="0.55000000000000004">
      <c r="A342" s="30">
        <v>811</v>
      </c>
      <c r="B342" s="6" t="s">
        <v>645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</row>
    <row r="343" spans="1:67" x14ac:dyDescent="0.55000000000000004">
      <c r="A343" s="31">
        <v>813</v>
      </c>
      <c r="B343" s="5" t="s">
        <v>646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</row>
    <row r="344" spans="1:67" x14ac:dyDescent="0.55000000000000004">
      <c r="A344" s="30">
        <v>815</v>
      </c>
      <c r="B344" s="6" t="s">
        <v>647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27">
        <f>HYPERLINK("[N Only New retention.xlsx]'Lake P Results'!O340", 2.69)</f>
        <v>2.69</v>
      </c>
      <c r="BC344" s="27">
        <f>HYPERLINK("[N Only with New retention and Differentiation.xlsx]'Lake P Results'!O340", 4.018)</f>
        <v>4.0179999999999998</v>
      </c>
      <c r="BD344" s="46">
        <f>BB344-BA344</f>
        <v>2.69</v>
      </c>
      <c r="BE344" s="46">
        <f>BC344-BA344</f>
        <v>4.0179999999999998</v>
      </c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</row>
    <row r="345" spans="1:67" x14ac:dyDescent="0.55000000000000004">
      <c r="A345" s="31">
        <v>816</v>
      </c>
      <c r="B345" s="5" t="s">
        <v>648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</row>
    <row r="346" spans="1:67" x14ac:dyDescent="0.55000000000000004">
      <c r="A346" s="30">
        <v>821</v>
      </c>
      <c r="B346" s="6" t="s">
        <v>649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</row>
    <row r="347" spans="1:67" x14ac:dyDescent="0.55000000000000004">
      <c r="A347" s="31">
        <v>825</v>
      </c>
      <c r="B347" s="5" t="s">
        <v>650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</row>
    <row r="348" spans="1:67" x14ac:dyDescent="0.55000000000000004">
      <c r="A348" s="30">
        <v>826</v>
      </c>
      <c r="B348" s="6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</row>
    <row r="349" spans="1:67" x14ac:dyDescent="0.55000000000000004">
      <c r="A349" s="31">
        <v>827</v>
      </c>
      <c r="B349" s="5" t="s">
        <v>651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</row>
    <row r="350" spans="1:67" x14ac:dyDescent="0.55000000000000004">
      <c r="A350" s="30">
        <v>828</v>
      </c>
      <c r="B350" s="6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</row>
    <row r="351" spans="1:67" x14ac:dyDescent="0.55000000000000004">
      <c r="A351" s="31">
        <v>830</v>
      </c>
      <c r="B351" s="5" t="s">
        <v>652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</row>
    <row r="352" spans="1:67" x14ac:dyDescent="0.55000000000000004">
      <c r="A352" s="30">
        <v>832</v>
      </c>
      <c r="B352" s="6" t="s">
        <v>653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</row>
    <row r="353" spans="1:67" x14ac:dyDescent="0.55000000000000004">
      <c r="A353" s="31">
        <v>834</v>
      </c>
      <c r="B353" s="5" t="s">
        <v>654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</row>
    <row r="354" spans="1:67" x14ac:dyDescent="0.55000000000000004">
      <c r="A354" s="30">
        <v>835</v>
      </c>
      <c r="B354" s="6" t="s">
        <v>655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</row>
    <row r="355" spans="1:67" x14ac:dyDescent="0.55000000000000004">
      <c r="A355" s="31">
        <v>837</v>
      </c>
      <c r="B355" s="5" t="s">
        <v>656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</row>
    <row r="356" spans="1:67" x14ac:dyDescent="0.55000000000000004">
      <c r="A356" s="30">
        <v>838</v>
      </c>
      <c r="B356" s="6" t="s">
        <v>657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27">
        <f>HYPERLINK("[N Only Old retention.xlsx]'Lake P Results'!O352", 75.86)</f>
        <v>75.86</v>
      </c>
      <c r="BB356" s="27">
        <f>HYPERLINK("[N Only New retention.xlsx]'Lake P Results'!O352", 113.57)</f>
        <v>113.57</v>
      </c>
      <c r="BC356" s="27">
        <f>HYPERLINK("[N Only with New retention and Differentiation.xlsx]'Lake P Results'!O352", 139.51)</f>
        <v>139.51</v>
      </c>
      <c r="BD356" s="46">
        <f>BB356-BA356</f>
        <v>37.709999999999994</v>
      </c>
      <c r="BE356" s="46">
        <f>BC356-BA356</f>
        <v>63.649999999999991</v>
      </c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</row>
    <row r="357" spans="1:67" x14ac:dyDescent="0.55000000000000004">
      <c r="A357" s="31">
        <v>841</v>
      </c>
      <c r="B357" s="5" t="s">
        <v>658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</row>
    <row r="358" spans="1:67" x14ac:dyDescent="0.55000000000000004">
      <c r="A358" s="30">
        <v>843</v>
      </c>
      <c r="B358" s="6" t="s">
        <v>659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</row>
    <row r="359" spans="1:67" x14ac:dyDescent="0.55000000000000004">
      <c r="A359" s="31">
        <v>845</v>
      </c>
      <c r="B359" s="5" t="s">
        <v>660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29">
        <f>HYPERLINK("[N Only Old retention.xlsx]'Lake P Results'!R355", 0.33)</f>
        <v>0.33</v>
      </c>
      <c r="BG359" s="29">
        <f>HYPERLINK("[N Only New retention.xlsx]'Lake P Results'!R355", 0.33)</f>
        <v>0.33</v>
      </c>
      <c r="BH359" s="29">
        <f>HYPERLINK("[N Only with New retention and Differentiation.xlsx]'Lake P Results'!R355", 0.33)</f>
        <v>0.33</v>
      </c>
      <c r="BI359" s="13"/>
      <c r="BJ359" s="13"/>
      <c r="BK359" s="13"/>
      <c r="BL359" s="13"/>
      <c r="BM359" s="13"/>
      <c r="BN359" s="13"/>
      <c r="BO359" s="13"/>
    </row>
    <row r="360" spans="1:67" x14ac:dyDescent="0.55000000000000004">
      <c r="A360" s="30">
        <v>846</v>
      </c>
      <c r="B360" s="6" t="s">
        <v>661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</row>
    <row r="361" spans="1:67" x14ac:dyDescent="0.55000000000000004">
      <c r="A361" s="31">
        <v>847</v>
      </c>
      <c r="B361" s="5" t="s">
        <v>662</v>
      </c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29">
        <f>HYPERLINK("[N Only with New retention and Differentiation.xlsx]'Lake P Results'!Z357", 0.01)</f>
        <v>0.01</v>
      </c>
      <c r="AE361" s="13"/>
      <c r="AF361" s="46">
        <f>AD361-AB361</f>
        <v>0.01</v>
      </c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29">
        <f>HYPERLINK("[N Only Old retention.xlsx]'Lake P Results'!O357", 14.25)</f>
        <v>14.25</v>
      </c>
      <c r="BB361" s="29">
        <f>HYPERLINK("[N Only New retention.xlsx]'Lake P Results'!O357", 14.25)</f>
        <v>14.25</v>
      </c>
      <c r="BC361" s="29">
        <f>HYPERLINK("[N Only with New retention and Differentiation.xlsx]'Lake P Results'!O357", 25.506)</f>
        <v>25.506</v>
      </c>
      <c r="BD361" s="13"/>
      <c r="BE361" s="46">
        <f>BC361-BA361</f>
        <v>11.256</v>
      </c>
      <c r="BF361" s="29">
        <f>HYPERLINK("[N Only Old retention.xlsx]'Lake P Results'!R357", 1.28)</f>
        <v>1.28</v>
      </c>
      <c r="BG361" s="29">
        <f>HYPERLINK("[N Only New retention.xlsx]'Lake P Results'!R357", 1.28)</f>
        <v>1.28</v>
      </c>
      <c r="BH361" s="29">
        <f>HYPERLINK("[N Only with New retention and Differentiation.xlsx]'Lake P Results'!R357", 1.28)</f>
        <v>1.28</v>
      </c>
      <c r="BI361" s="13"/>
      <c r="BJ361" s="13"/>
      <c r="BK361" s="29">
        <f>HYPERLINK("[N Only Old retention.xlsx]'Lake P Results'!Q357", 4.06399999995098)</f>
        <v>4.0639999999509797</v>
      </c>
      <c r="BL361" s="29">
        <f>HYPERLINK("[N Only New retention.xlsx]'Lake P Results'!Q357", 3.824)</f>
        <v>3.8239999999999998</v>
      </c>
      <c r="BM361" s="29">
        <f>HYPERLINK("[N Only with New retention and Differentiation.xlsx]'Lake P Results'!Q357", 3.81399999993444)</f>
        <v>3.8139999999344401</v>
      </c>
      <c r="BN361" s="47">
        <f>BL361-BK361</f>
        <v>-0.23999999995097987</v>
      </c>
      <c r="BO361" s="47">
        <f>BM361-BK361</f>
        <v>-0.25000000001653966</v>
      </c>
    </row>
    <row r="362" spans="1:67" x14ac:dyDescent="0.55000000000000004">
      <c r="A362" s="30">
        <v>848</v>
      </c>
      <c r="B362" s="6" t="s">
        <v>663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27">
        <f>HYPERLINK("[N Only Old retention.xlsx]'Lake P Results'!R358", 0.0079999999999999)</f>
        <v>7.9999999999998996E-3</v>
      </c>
      <c r="BG362" s="27">
        <f>HYPERLINK("[N Only New retention.xlsx]'Lake P Results'!R358", 0.0079999999999999)</f>
        <v>7.9999999999998996E-3</v>
      </c>
      <c r="BH362" s="27">
        <f>HYPERLINK("[N Only with New retention and Differentiation.xlsx]'Lake P Results'!R358", 0.0079999999999999)</f>
        <v>7.9999999999998996E-3</v>
      </c>
      <c r="BI362" s="18"/>
      <c r="BJ362" s="18"/>
      <c r="BK362" s="27">
        <f>HYPERLINK("[N Only Old retention.xlsx]'Lake P Results'!Q358", 0.08)</f>
        <v>0.08</v>
      </c>
      <c r="BL362" s="27">
        <f>HYPERLINK("[N Only New retention.xlsx]'Lake P Results'!Q358", 0.27)</f>
        <v>0.27</v>
      </c>
      <c r="BM362" s="27">
        <f>HYPERLINK("[N Only with New retention and Differentiation.xlsx]'Lake P Results'!Q358", 0.27)</f>
        <v>0.27</v>
      </c>
      <c r="BN362" s="46">
        <f>BL362-BK362</f>
        <v>0.19</v>
      </c>
      <c r="BO362" s="46">
        <f>BM362-BK362</f>
        <v>0.19</v>
      </c>
    </row>
    <row r="363" spans="1:67" x14ac:dyDescent="0.55000000000000004">
      <c r="A363" s="31">
        <v>849</v>
      </c>
      <c r="B363" s="5" t="s">
        <v>664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29">
        <f>HYPERLINK("[N Only with New retention and Differentiation.xlsx]'Lake P Results'!O359", 1.88)</f>
        <v>1.88</v>
      </c>
      <c r="BD363" s="13"/>
      <c r="BE363" s="46">
        <f>BC363-BA363</f>
        <v>1.88</v>
      </c>
      <c r="BF363" s="29">
        <f>HYPERLINK("[N Only Old retention.xlsx]'Lake P Results'!R359", 1.02)</f>
        <v>1.02</v>
      </c>
      <c r="BG363" s="29">
        <f>HYPERLINK("[N Only New retention.xlsx]'Lake P Results'!R359", 1.02)</f>
        <v>1.02</v>
      </c>
      <c r="BH363" s="29">
        <f>HYPERLINK("[N Only with New retention and Differentiation.xlsx]'Lake P Results'!R359", 1.02)</f>
        <v>1.02</v>
      </c>
      <c r="BI363" s="13"/>
      <c r="BJ363" s="13"/>
      <c r="BK363" s="13"/>
      <c r="BL363" s="13"/>
      <c r="BM363" s="13"/>
      <c r="BN363" s="13"/>
      <c r="BO363" s="13"/>
    </row>
    <row r="364" spans="1:67" x14ac:dyDescent="0.55000000000000004">
      <c r="A364" s="30">
        <v>850</v>
      </c>
      <c r="B364" s="6" t="s">
        <v>665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27">
        <f>HYPERLINK("[N Only Old retention.xlsx]'Lake P Results'!O360", 2.56)</f>
        <v>2.56</v>
      </c>
      <c r="BB364" s="27">
        <f>HYPERLINK("[N Only New retention.xlsx]'Lake P Results'!O360", 2.56)</f>
        <v>2.56</v>
      </c>
      <c r="BC364" s="27">
        <f>HYPERLINK("[N Only with New retention and Differentiation.xlsx]'Lake P Results'!O360", 2.56)</f>
        <v>2.56</v>
      </c>
      <c r="BD364" s="18"/>
      <c r="BE364" s="18"/>
      <c r="BF364" s="27">
        <f>HYPERLINK("[N Only Old retention.xlsx]'Lake P Results'!R360", 0.483999999994737)</f>
        <v>0.48399999999473697</v>
      </c>
      <c r="BG364" s="27">
        <f>HYPERLINK("[N Only New retention.xlsx]'Lake P Results'!R360", 11.636)</f>
        <v>11.635999999999999</v>
      </c>
      <c r="BH364" s="27">
        <f>HYPERLINK("[N Only with New retention and Differentiation.xlsx]'Lake P Results'!R360", 10.626)</f>
        <v>10.625999999999999</v>
      </c>
      <c r="BI364" s="46">
        <f>BG364-BF364</f>
        <v>11.152000000005263</v>
      </c>
      <c r="BJ364" s="46">
        <f>BH364-BF364</f>
        <v>10.142000000005263</v>
      </c>
      <c r="BK364" s="27">
        <f>HYPERLINK("[N Only Old retention.xlsx]'Lake P Results'!Q360", 0.7)</f>
        <v>0.7</v>
      </c>
      <c r="BL364" s="27">
        <f>HYPERLINK("[N Only New retention.xlsx]'Lake P Results'!Q360", 0.7)</f>
        <v>0.7</v>
      </c>
      <c r="BM364" s="27">
        <f>HYPERLINK("[N Only with New retention and Differentiation.xlsx]'Lake P Results'!Q360", 0.7)</f>
        <v>0.7</v>
      </c>
      <c r="BN364" s="18"/>
      <c r="BO364" s="18"/>
    </row>
    <row r="365" spans="1:67" x14ac:dyDescent="0.55000000000000004">
      <c r="A365" s="31">
        <v>851</v>
      </c>
      <c r="B365" s="5" t="s">
        <v>666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29">
        <f>HYPERLINK("[N Only Old retention.xlsx]'Lake P Results'!M361", 2.01)</f>
        <v>2.0099999999999998</v>
      </c>
      <c r="AW365" s="29">
        <f>HYPERLINK("[N Only New retention.xlsx]'Lake P Results'!M361", 6.31)</f>
        <v>6.31</v>
      </c>
      <c r="AX365" s="13"/>
      <c r="AY365" s="46">
        <f>AW365-AV365</f>
        <v>4.3</v>
      </c>
      <c r="AZ365" s="47">
        <f>AX365-AV365</f>
        <v>-2.0099999999999998</v>
      </c>
      <c r="BA365" s="13"/>
      <c r="BB365" s="13"/>
      <c r="BC365" s="29">
        <f>HYPERLINK("[N Only with New retention and Differentiation.xlsx]'Lake P Results'!O361", 6.31)</f>
        <v>6.31</v>
      </c>
      <c r="BD365" s="13"/>
      <c r="BE365" s="46">
        <f>BC365-BA365</f>
        <v>6.31</v>
      </c>
      <c r="BF365" s="13"/>
      <c r="BG365" s="13"/>
      <c r="BH365" s="13"/>
      <c r="BI365" s="13"/>
      <c r="BJ365" s="13"/>
      <c r="BK365" s="13"/>
      <c r="BL365" s="29">
        <f>HYPERLINK("[N Only New retention.xlsx]'Lake P Results'!Q361", 1.59)</f>
        <v>1.59</v>
      </c>
      <c r="BM365" s="29">
        <f>HYPERLINK("[N Only with New retention and Differentiation.xlsx]'Lake P Results'!Q361", 1.59)</f>
        <v>1.59</v>
      </c>
      <c r="BN365" s="46">
        <f>BL365-BK365</f>
        <v>1.59</v>
      </c>
      <c r="BO365" s="46">
        <f>BM365-BK365</f>
        <v>1.59</v>
      </c>
    </row>
    <row r="366" spans="1:67" x14ac:dyDescent="0.55000000000000004">
      <c r="A366" s="30">
        <v>852</v>
      </c>
      <c r="B366" s="6" t="s">
        <v>667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</row>
    <row r="367" spans="1:67" x14ac:dyDescent="0.55000000000000004">
      <c r="A367" s="31">
        <v>856</v>
      </c>
      <c r="B367" s="5" t="s">
        <v>668</v>
      </c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29">
        <f>HYPERLINK("[N Only New retention.xlsx]'Lake P Results'!R363", 0.03)</f>
        <v>0.03</v>
      </c>
      <c r="BH367" s="29">
        <f>HYPERLINK("[N Only with New retention and Differentiation.xlsx]'Lake P Results'!R363", 0.03)</f>
        <v>0.03</v>
      </c>
      <c r="BI367" s="46">
        <f>BG367-BF367</f>
        <v>0.03</v>
      </c>
      <c r="BJ367" s="46">
        <f>BH367-BF367</f>
        <v>0.03</v>
      </c>
      <c r="BK367" s="13"/>
      <c r="BL367" s="13"/>
      <c r="BM367" s="13"/>
      <c r="BN367" s="13"/>
      <c r="BO367" s="13"/>
    </row>
    <row r="368" spans="1:67" x14ac:dyDescent="0.55000000000000004">
      <c r="A368" s="30">
        <v>858</v>
      </c>
      <c r="B368" s="6" t="s">
        <v>669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</row>
    <row r="369" spans="1:67" x14ac:dyDescent="0.55000000000000004">
      <c r="A369" s="31">
        <v>861</v>
      </c>
      <c r="B369" s="5" t="s">
        <v>670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29">
        <f>HYPERLINK("[N Only Old retention.xlsx]'Lake P Results'!M365", 20.7899999999718)</f>
        <v>20.789999999971801</v>
      </c>
      <c r="AW369" s="29">
        <f>HYPERLINK("[N Only New retention.xlsx]'Lake P Results'!M365", 20.79)</f>
        <v>20.79</v>
      </c>
      <c r="AX369" s="13"/>
      <c r="AY369" s="46">
        <f>AW369-AV369</f>
        <v>2.8197888468639576E-11</v>
      </c>
      <c r="AZ369" s="47">
        <f>AX369-AV369</f>
        <v>-20.789999999971801</v>
      </c>
      <c r="BA369" s="29">
        <f>HYPERLINK("[N Only Old retention.xlsx]'Lake P Results'!O365", 5.55)</f>
        <v>5.55</v>
      </c>
      <c r="BB369" s="29">
        <f>HYPERLINK("[N Only New retention.xlsx]'Lake P Results'!O365", 5.55)</f>
        <v>5.55</v>
      </c>
      <c r="BC369" s="29">
        <f>HYPERLINK("[N Only with New retention and Differentiation.xlsx]'Lake P Results'!O365", 26.34)</f>
        <v>26.34</v>
      </c>
      <c r="BD369" s="13"/>
      <c r="BE369" s="46">
        <f>BC369-BA369</f>
        <v>20.79</v>
      </c>
      <c r="BF369" s="13"/>
      <c r="BG369" s="13"/>
      <c r="BH369" s="13"/>
      <c r="BI369" s="13"/>
      <c r="BJ369" s="13"/>
      <c r="BK369" s="29">
        <f>HYPERLINK("[N Only Old retention.xlsx]'Lake P Results'!Q365", 0.44)</f>
        <v>0.44</v>
      </c>
      <c r="BL369" s="29">
        <f>HYPERLINK("[N Only New retention.xlsx]'Lake P Results'!Q365", 0.44)</f>
        <v>0.44</v>
      </c>
      <c r="BM369" s="29">
        <f>HYPERLINK("[N Only with New retention and Differentiation.xlsx]'Lake P Results'!Q365", 0.44)</f>
        <v>0.44</v>
      </c>
      <c r="BN369" s="13"/>
      <c r="BO369" s="13"/>
    </row>
    <row r="370" spans="1:67" x14ac:dyDescent="0.55000000000000004">
      <c r="A370" s="30">
        <v>863</v>
      </c>
      <c r="B370" s="6" t="s">
        <v>671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</row>
    <row r="371" spans="1:67" x14ac:dyDescent="0.55000000000000004">
      <c r="A371" s="31">
        <v>867</v>
      </c>
      <c r="B371" s="5" t="s">
        <v>672</v>
      </c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29">
        <f>HYPERLINK("[N Only Old retention.xlsx]'Lake P Results'!R367", 0.2)</f>
        <v>0.2</v>
      </c>
      <c r="BG371" s="29">
        <f>HYPERLINK("[N Only New retention.xlsx]'Lake P Results'!R367", 0.0699999999999999)</f>
        <v>6.9999999999999896E-2</v>
      </c>
      <c r="BH371" s="29">
        <f>HYPERLINK("[N Only with New retention and Differentiation.xlsx]'Lake P Results'!R367", 0.0699999999999999)</f>
        <v>6.9999999999999896E-2</v>
      </c>
      <c r="BI371" s="47">
        <f>BG371-BF371</f>
        <v>-0.13000000000000012</v>
      </c>
      <c r="BJ371" s="47">
        <f>BH371-BF371</f>
        <v>-0.13000000000000012</v>
      </c>
      <c r="BK371" s="13"/>
      <c r="BL371" s="13"/>
      <c r="BM371" s="13"/>
      <c r="BN371" s="13"/>
      <c r="BO371" s="13"/>
    </row>
    <row r="372" spans="1:67" x14ac:dyDescent="0.55000000000000004">
      <c r="A372" s="30">
        <v>868</v>
      </c>
      <c r="B372" s="6" t="s">
        <v>673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</row>
    <row r="373" spans="1:67" x14ac:dyDescent="0.55000000000000004">
      <c r="A373" s="31">
        <v>869</v>
      </c>
      <c r="B373" s="5" t="s">
        <v>674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</row>
    <row r="374" spans="1:67" x14ac:dyDescent="0.55000000000000004">
      <c r="A374" s="30">
        <v>870</v>
      </c>
      <c r="B374" s="6" t="s">
        <v>675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</row>
    <row r="375" spans="1:67" x14ac:dyDescent="0.55000000000000004">
      <c r="A375" s="31">
        <v>871</v>
      </c>
      <c r="B375" s="5" t="s">
        <v>676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29">
        <f>HYPERLINK("[N Only Old retention.xlsx]'Lake P Results'!R371", 390.87399999999)</f>
        <v>390.87399999999002</v>
      </c>
      <c r="BG375" s="29">
        <f>HYPERLINK("[N Only New retention.xlsx]'Lake P Results'!R371", 390.984)</f>
        <v>390.98399999999998</v>
      </c>
      <c r="BH375" s="29">
        <f>HYPERLINK("[N Only with New retention and Differentiation.xlsx]'Lake P Results'!R371", 390.984)</f>
        <v>390.98399999999998</v>
      </c>
      <c r="BI375" s="46">
        <f>BG375-BF375</f>
        <v>0.11000000000996124</v>
      </c>
      <c r="BJ375" s="46">
        <f>BH375-BF375</f>
        <v>0.11000000000996124</v>
      </c>
      <c r="BK375" s="13"/>
      <c r="BL375" s="13"/>
      <c r="BM375" s="13"/>
      <c r="BN375" s="13"/>
      <c r="BO375" s="13"/>
    </row>
    <row r="376" spans="1:67" x14ac:dyDescent="0.55000000000000004">
      <c r="A376" s="30">
        <v>872</v>
      </c>
      <c r="B376" s="6" t="s">
        <v>677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</row>
    <row r="377" spans="1:67" x14ac:dyDescent="0.55000000000000004">
      <c r="A377" s="31">
        <v>873</v>
      </c>
      <c r="B377" s="5" t="s">
        <v>678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</row>
    <row r="378" spans="1:67" x14ac:dyDescent="0.55000000000000004">
      <c r="A378" s="30">
        <v>874</v>
      </c>
      <c r="B378" s="6" t="s">
        <v>679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27">
        <f>HYPERLINK("[N Only Old retention.xlsx]'Lake P Results'!M374", 7.48)</f>
        <v>7.48</v>
      </c>
      <c r="AW378" s="27">
        <f>HYPERLINK("[N Only New retention.xlsx]'Lake P Results'!M374", 7.48)</f>
        <v>7.48</v>
      </c>
      <c r="AX378" s="18"/>
      <c r="AY378" s="18"/>
      <c r="AZ378" s="47">
        <f>AX378-AV378</f>
        <v>-7.48</v>
      </c>
      <c r="BA378" s="27">
        <f>HYPERLINK("[N Only Old retention.xlsx]'Lake P Results'!O374", 8.61)</f>
        <v>8.61</v>
      </c>
      <c r="BB378" s="27">
        <f>HYPERLINK("[N Only New retention.xlsx]'Lake P Results'!O374", 8.61)</f>
        <v>8.61</v>
      </c>
      <c r="BC378" s="27">
        <f>HYPERLINK("[N Only with New retention and Differentiation.xlsx]'Lake P Results'!O374", 16.09)</f>
        <v>16.09</v>
      </c>
      <c r="BD378" s="18"/>
      <c r="BE378" s="46">
        <f>BC378-BA378</f>
        <v>7.48</v>
      </c>
      <c r="BF378" s="27">
        <f>HYPERLINK("[N Only Old retention.xlsx]'Lake P Results'!R374", 6.526)</f>
        <v>6.5259999999999998</v>
      </c>
      <c r="BG378" s="27">
        <f>HYPERLINK("[N Only New retention.xlsx]'Lake P Results'!R374", 7.086)</f>
        <v>7.0860000000000003</v>
      </c>
      <c r="BH378" s="27">
        <f>HYPERLINK("[N Only with New retention and Differentiation.xlsx]'Lake P Results'!R374", 7.086)</f>
        <v>7.0860000000000003</v>
      </c>
      <c r="BI378" s="46">
        <f>BG378-BF378</f>
        <v>0.5600000000000005</v>
      </c>
      <c r="BJ378" s="46">
        <f>BH378-BF378</f>
        <v>0.5600000000000005</v>
      </c>
      <c r="BK378" s="18"/>
      <c r="BL378" s="18"/>
      <c r="BM378" s="18"/>
      <c r="BN378" s="18"/>
      <c r="BO378" s="18"/>
    </row>
    <row r="379" spans="1:67" x14ac:dyDescent="0.55000000000000004">
      <c r="A379" s="31">
        <v>875</v>
      </c>
      <c r="B379" s="5" t="s">
        <v>680</v>
      </c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</row>
    <row r="380" spans="1:67" x14ac:dyDescent="0.55000000000000004">
      <c r="A380" s="30">
        <v>878</v>
      </c>
      <c r="B380" s="6" t="s">
        <v>681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</row>
    <row r="381" spans="1:67" x14ac:dyDescent="0.55000000000000004">
      <c r="A381" s="31">
        <v>882</v>
      </c>
      <c r="B381" s="5" t="s">
        <v>682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29">
        <f>HYPERLINK("[N Only New retention.xlsx]'Lake P Results'!R377", 0.15)</f>
        <v>0.15</v>
      </c>
      <c r="BH381" s="29">
        <f>HYPERLINK("[N Only with New retention and Differentiation.xlsx]'Lake P Results'!R377", 0.15)</f>
        <v>0.15</v>
      </c>
      <c r="BI381" s="46">
        <f>BG381-BF381</f>
        <v>0.15</v>
      </c>
      <c r="BJ381" s="46">
        <f>BH381-BF381</f>
        <v>0.15</v>
      </c>
      <c r="BK381" s="13"/>
      <c r="BL381" s="13"/>
      <c r="BM381" s="13"/>
      <c r="BN381" s="13"/>
      <c r="BO381" s="13"/>
    </row>
    <row r="382" spans="1:67" x14ac:dyDescent="0.55000000000000004">
      <c r="A382" s="30">
        <v>883</v>
      </c>
      <c r="B382" s="6" t="s">
        <v>683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</row>
    <row r="383" spans="1:67" x14ac:dyDescent="0.55000000000000004">
      <c r="A383" s="31">
        <v>884</v>
      </c>
      <c r="B383" s="5" t="s">
        <v>684</v>
      </c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</row>
    <row r="384" spans="1:67" x14ac:dyDescent="0.55000000000000004">
      <c r="A384" s="30">
        <v>887</v>
      </c>
      <c r="B384" s="6" t="s">
        <v>685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</row>
    <row r="385" spans="1:67" x14ac:dyDescent="0.55000000000000004">
      <c r="A385" s="31">
        <v>888</v>
      </c>
      <c r="B385" s="5" t="s">
        <v>686</v>
      </c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</row>
    <row r="386" spans="1:67" x14ac:dyDescent="0.55000000000000004">
      <c r="A386" s="30">
        <v>889</v>
      </c>
      <c r="B386" s="6" t="s">
        <v>687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</row>
    <row r="387" spans="1:67" x14ac:dyDescent="0.55000000000000004">
      <c r="A387" s="31">
        <v>893</v>
      </c>
      <c r="B387" s="5" t="s">
        <v>688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</row>
    <row r="388" spans="1:67" x14ac:dyDescent="0.55000000000000004">
      <c r="A388" s="30">
        <v>896</v>
      </c>
      <c r="B388" s="6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27">
        <f>HYPERLINK("[N Only Old retention.xlsx]'Lake P Results'!M384", 9.61)</f>
        <v>9.61</v>
      </c>
      <c r="AW388" s="27">
        <f>HYPERLINK("[N Only New retention.xlsx]'Lake P Results'!M384", 9.61)</f>
        <v>9.61</v>
      </c>
      <c r="AX388" s="18"/>
      <c r="AY388" s="18"/>
      <c r="AZ388" s="47">
        <f>AX388-AV388</f>
        <v>-9.61</v>
      </c>
      <c r="BA388" s="27">
        <f>HYPERLINK("[N Only Old retention.xlsx]'Lake P Results'!O384", 18.154)</f>
        <v>18.154</v>
      </c>
      <c r="BB388" s="27">
        <f>HYPERLINK("[N Only New retention.xlsx]'Lake P Results'!O384", 18.1539999999081)</f>
        <v>18.153999999908098</v>
      </c>
      <c r="BC388" s="27">
        <f>HYPERLINK("[N Only with New retention and Differentiation.xlsx]'Lake P Results'!O384", 27.764)</f>
        <v>27.763999999999999</v>
      </c>
      <c r="BD388" s="47">
        <f>BB388-BA388</f>
        <v>-9.1901597443211358E-11</v>
      </c>
      <c r="BE388" s="46">
        <f>BC388-BA388</f>
        <v>9.61</v>
      </c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</row>
    <row r="389" spans="1:67" x14ac:dyDescent="0.55000000000000004">
      <c r="A389" s="31">
        <v>899</v>
      </c>
      <c r="B389" s="5" t="s">
        <v>689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29">
        <f>HYPERLINK("[N Only New retention.xlsx]'Lake P Results'!R385", 0.18)</f>
        <v>0.18</v>
      </c>
      <c r="BH389" s="29">
        <f>HYPERLINK("[N Only with New retention and Differentiation.xlsx]'Lake P Results'!R385", 0.18)</f>
        <v>0.18</v>
      </c>
      <c r="BI389" s="46">
        <f>BG389-BF389</f>
        <v>0.18</v>
      </c>
      <c r="BJ389" s="46">
        <f>BH389-BF389</f>
        <v>0.18</v>
      </c>
      <c r="BK389" s="13"/>
      <c r="BL389" s="13"/>
      <c r="BM389" s="13"/>
      <c r="BN389" s="13"/>
      <c r="BO389" s="13"/>
    </row>
    <row r="390" spans="1:67" x14ac:dyDescent="0.55000000000000004">
      <c r="A390" s="30">
        <v>904</v>
      </c>
      <c r="B390" s="6" t="s">
        <v>690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27">
        <f>HYPERLINK("[N Only Old retention.xlsx]'Lake P Results'!R386", 0.0699999999999999)</f>
        <v>6.9999999999999896E-2</v>
      </c>
      <c r="BG390" s="27">
        <f>HYPERLINK("[N Only New retention.xlsx]'Lake P Results'!R386", 0.29)</f>
        <v>0.28999999999999998</v>
      </c>
      <c r="BH390" s="27">
        <f>HYPERLINK("[N Only with New retention and Differentiation.xlsx]'Lake P Results'!R386", 0.29)</f>
        <v>0.28999999999999998</v>
      </c>
      <c r="BI390" s="46">
        <f>BG390-BF390</f>
        <v>0.22000000000000008</v>
      </c>
      <c r="BJ390" s="46">
        <f>BH390-BF390</f>
        <v>0.22000000000000008</v>
      </c>
      <c r="BK390" s="18"/>
      <c r="BL390" s="18"/>
      <c r="BM390" s="18"/>
      <c r="BN390" s="18"/>
      <c r="BO390" s="18"/>
    </row>
    <row r="391" spans="1:67" x14ac:dyDescent="0.55000000000000004">
      <c r="A391" s="31">
        <v>907</v>
      </c>
      <c r="B391" s="5" t="s">
        <v>691</v>
      </c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29">
        <f>HYPERLINK("[N Only Old retention.xlsx]'Lake P Results'!R387", 0.66)</f>
        <v>0.66</v>
      </c>
      <c r="BG391" s="29">
        <f>HYPERLINK("[N Only New retention.xlsx]'Lake P Results'!R387", 0.66)</f>
        <v>0.66</v>
      </c>
      <c r="BH391" s="29">
        <f>HYPERLINK("[N Only with New retention and Differentiation.xlsx]'Lake P Results'!R387", 0.66)</f>
        <v>0.66</v>
      </c>
      <c r="BI391" s="13"/>
      <c r="BJ391" s="13"/>
      <c r="BK391" s="13"/>
      <c r="BL391" s="13"/>
      <c r="BM391" s="13"/>
      <c r="BN391" s="13"/>
      <c r="BO391" s="13"/>
    </row>
    <row r="392" spans="1:67" x14ac:dyDescent="0.55000000000000004">
      <c r="A392" s="30">
        <v>908</v>
      </c>
      <c r="B392" s="6" t="s">
        <v>692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27">
        <f>HYPERLINK("[N Only Old retention.xlsx]'Lake P Results'!M388", 195.2)</f>
        <v>195.2</v>
      </c>
      <c r="AW392" s="27">
        <f>HYPERLINK("[N Only New retention.xlsx]'Lake P Results'!M388", 386.768)</f>
        <v>386.76799999999997</v>
      </c>
      <c r="AX392" s="18"/>
      <c r="AY392" s="46">
        <f>AW392-AV392</f>
        <v>191.56799999999998</v>
      </c>
      <c r="AZ392" s="47">
        <f>AX392-AV392</f>
        <v>-195.2</v>
      </c>
      <c r="BA392" s="27">
        <f>HYPERLINK("[N Only Old retention.xlsx]'Lake P Results'!O388", 147.034)</f>
        <v>147.03399999999999</v>
      </c>
      <c r="BB392" s="27">
        <f>HYPERLINK("[N Only New retention.xlsx]'Lake P Results'!O388", 193.806)</f>
        <v>193.80600000000001</v>
      </c>
      <c r="BC392" s="27">
        <f>HYPERLINK("[N Only with New retention and Differentiation.xlsx]'Lake P Results'!O388", 670.884)</f>
        <v>670.88400000000001</v>
      </c>
      <c r="BD392" s="46">
        <f>BB392-BA392</f>
        <v>46.77200000000002</v>
      </c>
      <c r="BE392" s="46">
        <f>BC392-BA392</f>
        <v>523.85</v>
      </c>
      <c r="BF392" s="27">
        <f>HYPERLINK("[N Only Old retention.xlsx]'Lake P Results'!R388", 12.994)</f>
        <v>12.994</v>
      </c>
      <c r="BG392" s="27">
        <f>HYPERLINK("[N Only New retention.xlsx]'Lake P Results'!R388", 48.344)</f>
        <v>48.344000000000001</v>
      </c>
      <c r="BH392" s="27">
        <f>HYPERLINK("[N Only with New retention and Differentiation.xlsx]'Lake P Results'!R388", 48.294)</f>
        <v>48.293999999999997</v>
      </c>
      <c r="BI392" s="46">
        <f>BG392-BF392</f>
        <v>35.35</v>
      </c>
      <c r="BJ392" s="46">
        <f>BH392-BF392</f>
        <v>35.299999999999997</v>
      </c>
      <c r="BK392" s="27">
        <f>HYPERLINK("[N Only Old retention.xlsx]'Lake P Results'!Q388", 32.0499999999542)</f>
        <v>32.049999999954203</v>
      </c>
      <c r="BL392" s="27">
        <f>HYPERLINK("[N Only New retention.xlsx]'Lake P Results'!Q388", 36.39)</f>
        <v>36.39</v>
      </c>
      <c r="BM392" s="27">
        <f>HYPERLINK("[N Only with New retention and Differentiation.xlsx]'Lake P Results'!Q388", 34.02)</f>
        <v>34.020000000000003</v>
      </c>
      <c r="BN392" s="46">
        <f>BL392-BK392</f>
        <v>4.3400000000457979</v>
      </c>
      <c r="BO392" s="46">
        <f>BM392-BK392</f>
        <v>1.9700000000458004</v>
      </c>
    </row>
    <row r="393" spans="1:67" x14ac:dyDescent="0.55000000000000004">
      <c r="A393" s="31">
        <v>909</v>
      </c>
      <c r="B393" s="5" t="s">
        <v>693</v>
      </c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</row>
    <row r="394" spans="1:67" x14ac:dyDescent="0.55000000000000004">
      <c r="A394" s="30">
        <v>910</v>
      </c>
      <c r="B394" s="6" t="s">
        <v>694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27">
        <f>HYPERLINK("[N Only Old retention.xlsx]'Lake P Results'!R390", 1.286)</f>
        <v>1.286</v>
      </c>
      <c r="BG394" s="27">
        <f>HYPERLINK("[N Only New retention.xlsx]'Lake P Results'!R390", 2.206)</f>
        <v>2.206</v>
      </c>
      <c r="BH394" s="27">
        <f>HYPERLINK("[N Only with New retention and Differentiation.xlsx]'Lake P Results'!R390", 2.206)</f>
        <v>2.206</v>
      </c>
      <c r="BI394" s="46">
        <f>BG394-BF394</f>
        <v>0.91999999999999993</v>
      </c>
      <c r="BJ394" s="46">
        <f>BH394-BF394</f>
        <v>0.91999999999999993</v>
      </c>
      <c r="BK394" s="18"/>
      <c r="BL394" s="18"/>
      <c r="BM394" s="18"/>
      <c r="BN394" s="18"/>
      <c r="BO394" s="18"/>
    </row>
    <row r="395" spans="1:67" x14ac:dyDescent="0.55000000000000004">
      <c r="A395" s="31">
        <v>911</v>
      </c>
      <c r="B395" s="5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29">
        <f>HYPERLINK("[N Only Old retention.xlsx]'Lake P Results'!R391", 0.58)</f>
        <v>0.57999999999999996</v>
      </c>
      <c r="BG395" s="29">
        <f>HYPERLINK("[N Only New retention.xlsx]'Lake P Results'!R391", 0.58)</f>
        <v>0.57999999999999996</v>
      </c>
      <c r="BH395" s="29">
        <f>HYPERLINK("[N Only with New retention and Differentiation.xlsx]'Lake P Results'!R391", 0.58)</f>
        <v>0.57999999999999996</v>
      </c>
      <c r="BI395" s="13"/>
      <c r="BJ395" s="13"/>
      <c r="BK395" s="13"/>
      <c r="BL395" s="13"/>
      <c r="BM395" s="13"/>
      <c r="BN395" s="13"/>
      <c r="BO395" s="13"/>
    </row>
    <row r="396" spans="1:67" x14ac:dyDescent="0.55000000000000004">
      <c r="A396" s="30">
        <v>912</v>
      </c>
      <c r="B396" s="6" t="s">
        <v>695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</row>
    <row r="397" spans="1:67" x14ac:dyDescent="0.55000000000000004">
      <c r="A397" s="31">
        <v>913</v>
      </c>
      <c r="B397" s="5" t="s">
        <v>696</v>
      </c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29">
        <f>HYPERLINK("[N Only Old retention.xlsx]'Lake P Results'!R393", 2.64199999999474)</f>
        <v>2.6419999999947401</v>
      </c>
      <c r="BG397" s="29">
        <f>HYPERLINK("[N Only New retention.xlsx]'Lake P Results'!R393", 2.792)</f>
        <v>2.7919999999999998</v>
      </c>
      <c r="BH397" s="29">
        <f>HYPERLINK("[N Only with New retention and Differentiation.xlsx]'Lake P Results'!R393", 2.792)</f>
        <v>2.7919999999999998</v>
      </c>
      <c r="BI397" s="46">
        <f>BG397-BF397</f>
        <v>0.1500000000052597</v>
      </c>
      <c r="BJ397" s="46">
        <f>BH397-BF397</f>
        <v>0.1500000000052597</v>
      </c>
      <c r="BK397" s="13"/>
      <c r="BL397" s="13"/>
      <c r="BM397" s="13"/>
      <c r="BN397" s="13"/>
      <c r="BO397" s="13"/>
    </row>
    <row r="398" spans="1:67" x14ac:dyDescent="0.55000000000000004">
      <c r="A398" s="30">
        <v>914</v>
      </c>
      <c r="B398" s="6" t="s">
        <v>697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</row>
    <row r="399" spans="1:67" x14ac:dyDescent="0.55000000000000004">
      <c r="A399" s="31">
        <v>915</v>
      </c>
      <c r="B399" s="5" t="s">
        <v>698</v>
      </c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</row>
    <row r="400" spans="1:67" x14ac:dyDescent="0.55000000000000004">
      <c r="A400" s="30">
        <v>920</v>
      </c>
      <c r="B400" s="6" t="s">
        <v>699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</row>
    <row r="401" spans="1:67" x14ac:dyDescent="0.55000000000000004">
      <c r="A401" s="31">
        <v>922</v>
      </c>
      <c r="B401" s="5" t="s">
        <v>700</v>
      </c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29">
        <f>HYPERLINK("[N Only Old retention.xlsx]'Lake P Results'!M397", 0.824)</f>
        <v>0.82399999999999995</v>
      </c>
      <c r="AW401" s="29">
        <f>HYPERLINK("[N Only New retention.xlsx]'Lake P Results'!M397", 0.824)</f>
        <v>0.82399999999999995</v>
      </c>
      <c r="AX401" s="29">
        <f>HYPERLINK("[N Only with New retention and Differentiation.xlsx]'Lake P Results'!M397", 0.824)</f>
        <v>0.82399999999999995</v>
      </c>
      <c r="AY401" s="13"/>
      <c r="AZ401" s="13"/>
      <c r="BA401" s="13"/>
      <c r="BB401" s="13"/>
      <c r="BC401" s="13"/>
      <c r="BD401" s="13"/>
      <c r="BE401" s="13"/>
      <c r="BF401" s="13"/>
      <c r="BG401" s="29">
        <f>HYPERLINK("[N Only New retention.xlsx]'Lake P Results'!R397", 0.53)</f>
        <v>0.53</v>
      </c>
      <c r="BH401" s="29">
        <f>HYPERLINK("[N Only with New retention and Differentiation.xlsx]'Lake P Results'!R397", 0.53)</f>
        <v>0.53</v>
      </c>
      <c r="BI401" s="46">
        <f>BG401-BF401</f>
        <v>0.53</v>
      </c>
      <c r="BJ401" s="46">
        <f>BH401-BF401</f>
        <v>0.53</v>
      </c>
      <c r="BK401" s="13"/>
      <c r="BL401" s="13"/>
      <c r="BM401" s="13"/>
      <c r="BN401" s="13"/>
      <c r="BO401" s="13"/>
    </row>
    <row r="402" spans="1:67" x14ac:dyDescent="0.55000000000000004">
      <c r="A402" s="30">
        <v>924</v>
      </c>
      <c r="B402" s="6" t="s">
        <v>701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</row>
    <row r="403" spans="1:67" x14ac:dyDescent="0.55000000000000004">
      <c r="A403" s="31">
        <v>925</v>
      </c>
      <c r="B403" s="5" t="s">
        <v>702</v>
      </c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</row>
    <row r="404" spans="1:67" x14ac:dyDescent="0.55000000000000004">
      <c r="A404" s="30">
        <v>926</v>
      </c>
      <c r="B404" s="6" t="s">
        <v>703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27">
        <f>HYPERLINK("[N Only Old retention.xlsx]'Lake P Results'!R400", 0.29)</f>
        <v>0.28999999999999998</v>
      </c>
      <c r="BG404" s="27">
        <f>HYPERLINK("[N Only New retention.xlsx]'Lake P Results'!R400", 0.29)</f>
        <v>0.28999999999999998</v>
      </c>
      <c r="BH404" s="27">
        <f>HYPERLINK("[N Only with New retention and Differentiation.xlsx]'Lake P Results'!R400", 0.29)</f>
        <v>0.28999999999999998</v>
      </c>
      <c r="BI404" s="18"/>
      <c r="BJ404" s="18"/>
      <c r="BK404" s="18"/>
      <c r="BL404" s="27">
        <f>HYPERLINK("[N Only New retention.xlsx]'Lake P Results'!Q400", 0.0800000000000001)</f>
        <v>8.0000000000000099E-2</v>
      </c>
      <c r="BM404" s="27">
        <f>HYPERLINK("[N Only with New retention and Differentiation.xlsx]'Lake P Results'!Q400", 0.0800000000000001)</f>
        <v>8.0000000000000099E-2</v>
      </c>
      <c r="BN404" s="46">
        <f>BL404-BK404</f>
        <v>8.0000000000000099E-2</v>
      </c>
      <c r="BO404" s="46">
        <f>BM404-BK404</f>
        <v>8.0000000000000099E-2</v>
      </c>
    </row>
    <row r="405" spans="1:67" x14ac:dyDescent="0.55000000000000004">
      <c r="A405" s="31">
        <v>927</v>
      </c>
      <c r="B405" s="5" t="s">
        <v>704</v>
      </c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29">
        <f>HYPERLINK("[N Only Old retention.xlsx]'Lake P Results'!R401", 1.348)</f>
        <v>1.3480000000000001</v>
      </c>
      <c r="BG405" s="29">
        <f>HYPERLINK("[N Only New retention.xlsx]'Lake P Results'!R401", 1.3)</f>
        <v>1.3</v>
      </c>
      <c r="BH405" s="29">
        <f>HYPERLINK("[N Only with New retention and Differentiation.xlsx]'Lake P Results'!R401", 1.3)</f>
        <v>1.3</v>
      </c>
      <c r="BI405" s="47">
        <f>BG405-BF405</f>
        <v>-4.8000000000000043E-2</v>
      </c>
      <c r="BJ405" s="47">
        <f>BH405-BF405</f>
        <v>-4.8000000000000043E-2</v>
      </c>
      <c r="BK405" s="13"/>
      <c r="BL405" s="13"/>
      <c r="BM405" s="13"/>
      <c r="BN405" s="13"/>
      <c r="BO405" s="13"/>
    </row>
    <row r="406" spans="1:67" x14ac:dyDescent="0.55000000000000004">
      <c r="A406" s="30">
        <v>928</v>
      </c>
      <c r="B406" s="6" t="s">
        <v>705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</row>
    <row r="407" spans="1:67" x14ac:dyDescent="0.55000000000000004">
      <c r="A407" s="31">
        <v>930</v>
      </c>
      <c r="B407" s="5" t="s">
        <v>706</v>
      </c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</row>
    <row r="408" spans="1:67" x14ac:dyDescent="0.55000000000000004">
      <c r="A408" s="30">
        <v>933</v>
      </c>
      <c r="B408" s="6" t="s">
        <v>707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</row>
    <row r="409" spans="1:67" x14ac:dyDescent="0.55000000000000004">
      <c r="A409" s="31">
        <v>934</v>
      </c>
      <c r="B409" s="5" t="s">
        <v>708</v>
      </c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</row>
    <row r="410" spans="1:67" x14ac:dyDescent="0.55000000000000004">
      <c r="A410" s="30">
        <v>938</v>
      </c>
      <c r="B410" s="6" t="s">
        <v>709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</row>
    <row r="411" spans="1:67" x14ac:dyDescent="0.55000000000000004">
      <c r="A411" s="31">
        <v>940</v>
      </c>
      <c r="B411" s="5" t="s">
        <v>710</v>
      </c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</row>
    <row r="412" spans="1:67" x14ac:dyDescent="0.55000000000000004">
      <c r="A412" s="30">
        <v>941</v>
      </c>
      <c r="B412" s="6" t="s">
        <v>711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</row>
    <row r="413" spans="1:67" x14ac:dyDescent="0.55000000000000004">
      <c r="A413" s="31">
        <v>947</v>
      </c>
      <c r="B413" s="5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</row>
    <row r="414" spans="1:67" x14ac:dyDescent="0.55000000000000004">
      <c r="A414" s="30">
        <v>949</v>
      </c>
      <c r="B414" s="6" t="s">
        <v>712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</row>
    <row r="415" spans="1:67" x14ac:dyDescent="0.55000000000000004">
      <c r="A415" s="31">
        <v>950</v>
      </c>
      <c r="B415" s="5" t="s">
        <v>713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</row>
    <row r="416" spans="1:67" x14ac:dyDescent="0.55000000000000004">
      <c r="A416" s="30">
        <v>952</v>
      </c>
      <c r="B416" s="6" t="s">
        <v>714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</row>
    <row r="417" spans="1:67" x14ac:dyDescent="0.55000000000000004">
      <c r="A417" s="31">
        <v>960</v>
      </c>
      <c r="B417" s="5" t="s">
        <v>715</v>
      </c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</row>
    <row r="418" spans="1:67" x14ac:dyDescent="0.55000000000000004">
      <c r="A418" s="30">
        <v>963</v>
      </c>
      <c r="B418" s="6" t="s">
        <v>716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27">
        <f>HYPERLINK("[N Only New retention.xlsx]'Lake P Results'!O414", 4.8)</f>
        <v>4.8</v>
      </c>
      <c r="BC418" s="27">
        <f>HYPERLINK("[N Only with New retention and Differentiation.xlsx]'Lake P Results'!O414", 4.8)</f>
        <v>4.8</v>
      </c>
      <c r="BD418" s="46">
        <f>BB418-BA418</f>
        <v>4.8</v>
      </c>
      <c r="BE418" s="46">
        <f>BC418-BA418</f>
        <v>4.8</v>
      </c>
      <c r="BF418" s="18"/>
      <c r="BG418" s="18"/>
      <c r="BH418" s="18"/>
      <c r="BI418" s="18"/>
      <c r="BJ418" s="18"/>
      <c r="BK418" s="27">
        <f>HYPERLINK("[N Only Old retention.xlsx]'Lake P Results'!Q414", 3.93399999998777)</f>
        <v>3.9339999999877699</v>
      </c>
      <c r="BL418" s="27">
        <f>HYPERLINK("[N Only New retention.xlsx]'Lake P Results'!Q414", 3.934)</f>
        <v>3.9340000000000002</v>
      </c>
      <c r="BM418" s="27">
        <f>HYPERLINK("[N Only with New retention and Differentiation.xlsx]'Lake P Results'!Q414", 3.934)</f>
        <v>3.9340000000000002</v>
      </c>
      <c r="BN418" s="46">
        <f>BL418-BK418</f>
        <v>1.2230216839270724E-11</v>
      </c>
      <c r="BO418" s="46">
        <f>BM418-BK418</f>
        <v>1.2230216839270724E-11</v>
      </c>
    </row>
    <row r="419" spans="1:67" x14ac:dyDescent="0.55000000000000004">
      <c r="A419" s="31">
        <v>965</v>
      </c>
      <c r="B419" s="5" t="s">
        <v>717</v>
      </c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</row>
    <row r="420" spans="1:67" x14ac:dyDescent="0.55000000000000004">
      <c r="A420" s="30">
        <v>968</v>
      </c>
      <c r="B420" s="6" t="s">
        <v>718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</row>
    <row r="421" spans="1:67" x14ac:dyDescent="0.55000000000000004">
      <c r="A421" s="31">
        <v>972</v>
      </c>
      <c r="B421" s="5" t="s">
        <v>719</v>
      </c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</row>
    <row r="422" spans="1:67" x14ac:dyDescent="0.55000000000000004">
      <c r="A422" s="30">
        <v>974</v>
      </c>
      <c r="B422" s="6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</row>
    <row r="423" spans="1:67" x14ac:dyDescent="0.55000000000000004">
      <c r="A423" s="31">
        <v>985</v>
      </c>
      <c r="B423" s="5" t="s">
        <v>720</v>
      </c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</row>
    <row r="424" spans="1:67" x14ac:dyDescent="0.55000000000000004">
      <c r="A424" s="30">
        <v>1000</v>
      </c>
      <c r="B424" s="6" t="s">
        <v>721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27">
        <f>HYPERLINK("[N Only Old retention.xlsx]'Lake P Results'!M420", 9.288)</f>
        <v>9.2880000000000003</v>
      </c>
      <c r="AW424" s="18"/>
      <c r="AX424" s="18"/>
      <c r="AY424" s="47">
        <f>AW424-AV424</f>
        <v>-9.2880000000000003</v>
      </c>
      <c r="AZ424" s="47">
        <f>AX424-AV424</f>
        <v>-9.2880000000000003</v>
      </c>
      <c r="BA424" s="27">
        <f>HYPERLINK("[N Only Old retention.xlsx]'Lake P Results'!O420", 1.24)</f>
        <v>1.24</v>
      </c>
      <c r="BB424" s="18"/>
      <c r="BC424" s="18"/>
      <c r="BD424" s="47">
        <f>BB424-BA424</f>
        <v>-1.24</v>
      </c>
      <c r="BE424" s="47">
        <f>BC424-BA424</f>
        <v>-1.24</v>
      </c>
      <c r="BF424" s="18"/>
      <c r="BG424" s="18"/>
      <c r="BH424" s="18"/>
      <c r="BI424" s="18"/>
      <c r="BJ424" s="18"/>
      <c r="BK424" s="18"/>
      <c r="BL424" s="27">
        <f>HYPERLINK("[N Only New retention.xlsx]'Lake P Results'!Q420", 0.17)</f>
        <v>0.17</v>
      </c>
      <c r="BM424" s="27">
        <f>HYPERLINK("[N Only with New retention and Differentiation.xlsx]'Lake P Results'!Q420", 0.17)</f>
        <v>0.17</v>
      </c>
      <c r="BN424" s="46">
        <f>BL424-BK424</f>
        <v>0.17</v>
      </c>
      <c r="BO424" s="46">
        <f>BM424-BK424</f>
        <v>0.17</v>
      </c>
    </row>
    <row r="425" spans="1:67" x14ac:dyDescent="0.55000000000000004">
      <c r="A425" s="31">
        <v>1115</v>
      </c>
      <c r="B425" s="5" t="s">
        <v>722</v>
      </c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</row>
    <row r="426" spans="1:67" x14ac:dyDescent="0.55000000000000004">
      <c r="A426" s="30">
        <v>1217</v>
      </c>
      <c r="B426" s="6" t="s">
        <v>723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</row>
    <row r="427" spans="1:67" x14ac:dyDescent="0.55000000000000004">
      <c r="A427" s="31">
        <v>1502</v>
      </c>
      <c r="B427" s="5" t="s">
        <v>724</v>
      </c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29">
        <f>HYPERLINK("[N Only Old retention.xlsx]'Lake P Results'!M423", 19.54)</f>
        <v>19.54</v>
      </c>
      <c r="AW427" s="13"/>
      <c r="AX427" s="13"/>
      <c r="AY427" s="47">
        <f>AW427-AV427</f>
        <v>-19.54</v>
      </c>
      <c r="AZ427" s="47">
        <f>AX427-AV427</f>
        <v>-19.54</v>
      </c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</row>
    <row r="428" spans="1:67" x14ac:dyDescent="0.55000000000000004">
      <c r="A428" s="30">
        <v>1514</v>
      </c>
      <c r="B428" s="6" t="s">
        <v>725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</row>
    <row r="429" spans="1:67" x14ac:dyDescent="0.55000000000000004">
      <c r="A429" s="31">
        <v>1803</v>
      </c>
      <c r="B429" s="5" t="s">
        <v>726</v>
      </c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</row>
    <row r="430" spans="1:67" x14ac:dyDescent="0.55000000000000004">
      <c r="A430" s="30">
        <v>1813</v>
      </c>
      <c r="B430" s="6" t="s">
        <v>727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27">
        <f>HYPERLINK("[N Only Old retention.xlsx]'Lake P Results'!M426", 34.916)</f>
        <v>34.915999999999997</v>
      </c>
      <c r="AW430" s="27">
        <f>HYPERLINK("[N Only New retention.xlsx]'Lake P Results'!M426", 27.826)</f>
        <v>27.826000000000001</v>
      </c>
      <c r="AX430" s="27">
        <f>HYPERLINK("[N Only with New retention and Differentiation.xlsx]'Lake P Results'!M426", 27.826)</f>
        <v>27.826000000000001</v>
      </c>
      <c r="AY430" s="47">
        <f>AW430-AV430</f>
        <v>-7.0899999999999963</v>
      </c>
      <c r="AZ430" s="47">
        <f>AX430-AV430</f>
        <v>-7.0899999999999963</v>
      </c>
      <c r="BA430" s="18"/>
      <c r="BB430" s="18"/>
      <c r="BC430" s="18"/>
      <c r="BD430" s="18"/>
      <c r="BE430" s="18"/>
      <c r="BF430" s="27">
        <f>HYPERLINK("[N Only Old retention.xlsx]'Lake P Results'!R426", 4.35)</f>
        <v>4.3499999999999996</v>
      </c>
      <c r="BG430" s="27">
        <f>HYPERLINK("[N Only New retention.xlsx]'Lake P Results'!R426", 4.35)</f>
        <v>4.3499999999999996</v>
      </c>
      <c r="BH430" s="27">
        <f>HYPERLINK("[N Only with New retention and Differentiation.xlsx]'Lake P Results'!R426", 4.35)</f>
        <v>4.3499999999999996</v>
      </c>
      <c r="BI430" s="18"/>
      <c r="BJ430" s="18"/>
      <c r="BK430" s="27">
        <f>HYPERLINK("[N Only Old retention.xlsx]'Lake P Results'!Q426", 10.72)</f>
        <v>10.72</v>
      </c>
      <c r="BL430" s="27">
        <f>HYPERLINK("[N Only New retention.xlsx]'Lake P Results'!Q426", 11.656)</f>
        <v>11.656000000000001</v>
      </c>
      <c r="BM430" s="27">
        <f>HYPERLINK("[N Only with New retention and Differentiation.xlsx]'Lake P Results'!Q426", 11.656)</f>
        <v>11.656000000000001</v>
      </c>
      <c r="BN430" s="46">
        <f>BL430-BK430</f>
        <v>0.93599999999999994</v>
      </c>
      <c r="BO430" s="46">
        <f>BM430-BK430</f>
        <v>0.93599999999999994</v>
      </c>
    </row>
    <row r="431" spans="1:67" x14ac:dyDescent="0.55000000000000004">
      <c r="A431" s="31">
        <v>2103</v>
      </c>
      <c r="B431" s="5" t="s">
        <v>728</v>
      </c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29">
        <f>HYPERLINK("[N Only Old retention.xlsx]'Lake P Results'!R427", 3.058)</f>
        <v>3.0579999999999998</v>
      </c>
      <c r="BG431" s="29">
        <f>HYPERLINK("[N Only New retention.xlsx]'Lake P Results'!R427", 3.058)</f>
        <v>3.0579999999999998</v>
      </c>
      <c r="BH431" s="29">
        <f>HYPERLINK("[N Only with New retention and Differentiation.xlsx]'Lake P Results'!R427", 3.058)</f>
        <v>3.0579999999999998</v>
      </c>
      <c r="BI431" s="13"/>
      <c r="BJ431" s="13"/>
      <c r="BK431" s="29">
        <f>HYPERLINK("[N Only Old retention.xlsx]'Lake P Results'!Q427", 0.470000000000001)</f>
        <v>0.47000000000000097</v>
      </c>
      <c r="BL431" s="29">
        <f>HYPERLINK("[N Only New retention.xlsx]'Lake P Results'!Q427", 0.470000000000001)</f>
        <v>0.47000000000000097</v>
      </c>
      <c r="BM431" s="29">
        <f>HYPERLINK("[N Only with New retention and Differentiation.xlsx]'Lake P Results'!Q427", 0.470000000000001)</f>
        <v>0.47000000000000097</v>
      </c>
      <c r="BN431" s="13"/>
      <c r="BO431" s="13"/>
    </row>
    <row r="432" spans="1:67" x14ac:dyDescent="0.55000000000000004">
      <c r="A432" s="30">
        <v>3000</v>
      </c>
      <c r="B432" s="6" t="s">
        <v>729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26">
        <f>HYPERLINK("[N Only New retention.xlsx]'Lake P Results'!AH428", 100)</f>
        <v>100</v>
      </c>
      <c r="AS432" s="26">
        <f>HYPERLINK("[N Only with New retention and Differentiation.xlsx]'Lake P Results'!AH428", 100)</f>
        <v>100</v>
      </c>
      <c r="AT432" s="16">
        <f>AR432-AQ432</f>
        <v>100</v>
      </c>
      <c r="AU432" s="16">
        <f>AS432-AQ432</f>
        <v>100</v>
      </c>
      <c r="AV432" s="27">
        <f>HYPERLINK("[N Only Old retention.xlsx]'Lake P Results'!M428", 5.19)</f>
        <v>5.19</v>
      </c>
      <c r="AW432" s="27">
        <f>HYPERLINK("[N Only New retention.xlsx]'Lake P Results'!M428", 5.19)</f>
        <v>5.19</v>
      </c>
      <c r="AX432" s="27">
        <f>HYPERLINK("[N Only with New retention and Differentiation.xlsx]'Lake P Results'!M428", 5.19)</f>
        <v>5.19</v>
      </c>
      <c r="AY432" s="18"/>
      <c r="AZ432" s="18"/>
      <c r="BA432" s="18"/>
      <c r="BB432" s="18"/>
      <c r="BC432" s="18"/>
      <c r="BD432" s="18"/>
      <c r="BE432" s="18"/>
      <c r="BF432" s="27">
        <f>HYPERLINK("[N Only Old retention.xlsx]'Lake P Results'!R428", 0.6)</f>
        <v>0.6</v>
      </c>
      <c r="BG432" s="27">
        <f>HYPERLINK("[N Only New retention.xlsx]'Lake P Results'!R428", 0.6)</f>
        <v>0.6</v>
      </c>
      <c r="BH432" s="27">
        <f>HYPERLINK("[N Only with New retention and Differentiation.xlsx]'Lake P Results'!R428", 0.6)</f>
        <v>0.6</v>
      </c>
      <c r="BI432" s="18"/>
      <c r="BJ432" s="18"/>
      <c r="BK432" s="18"/>
      <c r="BL432" s="27">
        <f>HYPERLINK("[N Only New retention.xlsx]'Lake P Results'!Q428", 0.17)</f>
        <v>0.17</v>
      </c>
      <c r="BM432" s="27">
        <f>HYPERLINK("[N Only with New retention and Differentiation.xlsx]'Lake P Results'!Q428", 0.17)</f>
        <v>0.17</v>
      </c>
      <c r="BN432" s="46">
        <f>BL432-BK432</f>
        <v>0.17</v>
      </c>
      <c r="BO432" s="46">
        <f>BM432-BK432</f>
        <v>0.17</v>
      </c>
    </row>
    <row r="433" spans="1:67" x14ac:dyDescent="0.55000000000000004">
      <c r="A433" s="31">
        <v>3001</v>
      </c>
      <c r="B433" s="5" t="s">
        <v>730</v>
      </c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</row>
    <row r="434" spans="1:67" x14ac:dyDescent="0.55000000000000004">
      <c r="A434" s="30">
        <v>3101</v>
      </c>
      <c r="B434" s="6" t="s">
        <v>731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</row>
    <row r="435" spans="1:67" x14ac:dyDescent="0.55000000000000004">
      <c r="A435" s="31">
        <v>3102</v>
      </c>
      <c r="B435" s="5" t="s">
        <v>732</v>
      </c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</row>
    <row r="436" spans="1:67" x14ac:dyDescent="0.55000000000000004">
      <c r="A436" s="30">
        <v>6237</v>
      </c>
      <c r="B436" s="6" t="s">
        <v>733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27">
        <f>HYPERLINK("[N Only Old retention.xlsx]'Lake P Results'!R432", 11.7199999999947)</f>
        <v>11.7199999999947</v>
      </c>
      <c r="BG436" s="27">
        <f>HYPERLINK("[N Only New retention.xlsx]'Lake P Results'!R432", 10.524)</f>
        <v>10.523999999999999</v>
      </c>
      <c r="BH436" s="27">
        <f>HYPERLINK("[N Only with New retention and Differentiation.xlsx]'Lake P Results'!R432", 10.524)</f>
        <v>10.523999999999999</v>
      </c>
      <c r="BI436" s="47">
        <f>BG436-BF436</f>
        <v>-1.1959999999947009</v>
      </c>
      <c r="BJ436" s="47">
        <f>BH436-BF436</f>
        <v>-1.1959999999947009</v>
      </c>
      <c r="BK436" s="18"/>
      <c r="BL436" s="18"/>
      <c r="BM436" s="18"/>
      <c r="BN436" s="18"/>
      <c r="BO436" s="18"/>
    </row>
    <row r="437" spans="1:67" x14ac:dyDescent="0.55000000000000004">
      <c r="A437" s="31">
        <v>6258</v>
      </c>
      <c r="B437" s="5" t="s">
        <v>734</v>
      </c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29">
        <f>HYPERLINK("[N Only Old retention.xlsx]'Lake P Results'!O433", 16.8)</f>
        <v>16.8</v>
      </c>
      <c r="BB437" s="13"/>
      <c r="BC437" s="13"/>
      <c r="BD437" s="47">
        <f>BB437-BA437</f>
        <v>-16.8</v>
      </c>
      <c r="BE437" s="47">
        <f>BC437-BA437</f>
        <v>-16.8</v>
      </c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</row>
    <row r="438" spans="1:67" x14ac:dyDescent="0.55000000000000004">
      <c r="A438" s="30">
        <v>6340</v>
      </c>
      <c r="B438" s="6" t="s">
        <v>735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</row>
    <row r="439" spans="1:67" x14ac:dyDescent="0.55000000000000004">
      <c r="A439" s="31">
        <v>6755</v>
      </c>
      <c r="B439" s="5" t="s">
        <v>736</v>
      </c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29">
        <f>HYPERLINK("[N Only Old retention.xlsx]'Lake P Results'!M435", 83.8679999998644)</f>
        <v>83.867999999864395</v>
      </c>
      <c r="AW439" s="29">
        <f>HYPERLINK("[N Only New retention.xlsx]'Lake P Results'!M435", 49.378)</f>
        <v>49.378</v>
      </c>
      <c r="AX439" s="29">
        <f>HYPERLINK("[N Only with New retention and Differentiation.xlsx]'Lake P Results'!M435", 49.378)</f>
        <v>49.378</v>
      </c>
      <c r="AY439" s="47">
        <f>AW439-AV439</f>
        <v>-34.489999999864395</v>
      </c>
      <c r="AZ439" s="47">
        <f>AX439-AV439</f>
        <v>-34.489999999864395</v>
      </c>
      <c r="BA439" s="29">
        <f>HYPERLINK("[N Only Old retention.xlsx]'Lake P Results'!O435", 13.86)</f>
        <v>13.86</v>
      </c>
      <c r="BB439" s="13"/>
      <c r="BC439" s="13"/>
      <c r="BD439" s="47">
        <f>BB439-BA439</f>
        <v>-13.86</v>
      </c>
      <c r="BE439" s="47">
        <f>BC439-BA439</f>
        <v>-13.86</v>
      </c>
      <c r="BF439" s="13"/>
      <c r="BG439" s="13"/>
      <c r="BH439" s="13"/>
      <c r="BI439" s="13"/>
      <c r="BJ439" s="13"/>
      <c r="BK439" s="29">
        <f>HYPERLINK("[N Only Old retention.xlsx]'Lake P Results'!Q435", 4.17)</f>
        <v>4.17</v>
      </c>
      <c r="BL439" s="29">
        <f>HYPERLINK("[N Only New retention.xlsx]'Lake P Results'!Q435", 4.17)</f>
        <v>4.17</v>
      </c>
      <c r="BM439" s="29">
        <f>HYPERLINK("[N Only with New retention and Differentiation.xlsx]'Lake P Results'!Q435", 4.17)</f>
        <v>4.17</v>
      </c>
      <c r="BN439" s="13"/>
      <c r="BO439" s="13"/>
    </row>
    <row r="440" spans="1:67" x14ac:dyDescent="0.55000000000000004">
      <c r="A440" s="30">
        <v>6780</v>
      </c>
      <c r="B440" s="6" t="s">
        <v>737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27">
        <f>HYPERLINK("[N Only Old retention.xlsx]'Lake P Results'!R436", 2.298)</f>
        <v>2.298</v>
      </c>
      <c r="BG440" s="27">
        <f>HYPERLINK("[N Only New retention.xlsx]'Lake P Results'!R436", 2.298)</f>
        <v>2.298</v>
      </c>
      <c r="BH440" s="27">
        <f>HYPERLINK("[N Only with New retention and Differentiation.xlsx]'Lake P Results'!R436", 2.298)</f>
        <v>2.298</v>
      </c>
      <c r="BI440" s="18"/>
      <c r="BJ440" s="18"/>
      <c r="BK440" s="27">
        <f>HYPERLINK("[N Only Old retention.xlsx]'Lake P Results'!Q436", 0.48)</f>
        <v>0.48</v>
      </c>
      <c r="BL440" s="27">
        <f>HYPERLINK("[N Only New retention.xlsx]'Lake P Results'!Q436", 0.23)</f>
        <v>0.23</v>
      </c>
      <c r="BM440" s="27">
        <f>HYPERLINK("[N Only with New retention and Differentiation.xlsx]'Lake P Results'!Q436", 0.23)</f>
        <v>0.23</v>
      </c>
      <c r="BN440" s="47">
        <f>BL440-BK440</f>
        <v>-0.24999999999999997</v>
      </c>
      <c r="BO440" s="47">
        <f>BM440-BK440</f>
        <v>-0.24999999999999997</v>
      </c>
    </row>
    <row r="441" spans="1:67" x14ac:dyDescent="0.55000000000000004">
      <c r="A441" s="31">
        <v>7052</v>
      </c>
      <c r="B441" s="5" t="s">
        <v>738</v>
      </c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</row>
    <row r="442" spans="1:67" x14ac:dyDescent="0.55000000000000004">
      <c r="A442" s="30">
        <v>11004</v>
      </c>
      <c r="B442" s="6" t="s">
        <v>739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27">
        <f>HYPERLINK("[N Only Old retention.xlsx]'Lake P Results'!M438", 324.95799999991)</f>
        <v>324.95799999990999</v>
      </c>
      <c r="AW442" s="27">
        <f>HYPERLINK("[N Only New retention.xlsx]'Lake P Results'!M438", 323.168)</f>
        <v>323.16800000000001</v>
      </c>
      <c r="AX442" s="27">
        <f>HYPERLINK("[N Only with New retention and Differentiation.xlsx]'Lake P Results'!M438", 335.728)</f>
        <v>335.72800000000001</v>
      </c>
      <c r="AY442" s="47">
        <f>AW442-AV442</f>
        <v>-1.7899999999099805</v>
      </c>
      <c r="AZ442" s="46">
        <f>AX442-AV442</f>
        <v>10.770000000090022</v>
      </c>
      <c r="BA442" s="27">
        <f>HYPERLINK("[N Only Old retention.xlsx]'Lake P Results'!O438", 31.42)</f>
        <v>31.42</v>
      </c>
      <c r="BB442" s="27">
        <f>HYPERLINK("[N Only New retention.xlsx]'Lake P Results'!O438", 31.42)</f>
        <v>31.42</v>
      </c>
      <c r="BC442" s="27">
        <f>HYPERLINK("[N Only with New retention and Differentiation.xlsx]'Lake P Results'!O438", 18.86)</f>
        <v>18.86</v>
      </c>
      <c r="BD442" s="18"/>
      <c r="BE442" s="47">
        <f>BC442-BA442</f>
        <v>-12.560000000000002</v>
      </c>
      <c r="BF442" s="27">
        <f>HYPERLINK("[N Only Old retention.xlsx]'Lake P Results'!R438", 6.486)</f>
        <v>6.4859999999999998</v>
      </c>
      <c r="BG442" s="27">
        <f>HYPERLINK("[N Only New retention.xlsx]'Lake P Results'!R438", 5.686)</f>
        <v>5.6859999999999999</v>
      </c>
      <c r="BH442" s="27">
        <f>HYPERLINK("[N Only with New retention and Differentiation.xlsx]'Lake P Results'!R438", 5.686)</f>
        <v>5.6859999999999999</v>
      </c>
      <c r="BI442" s="47">
        <f>BG442-BF442</f>
        <v>-0.79999999999999982</v>
      </c>
      <c r="BJ442" s="47">
        <f>BH442-BF442</f>
        <v>-0.79999999999999982</v>
      </c>
      <c r="BK442" s="27">
        <f>HYPERLINK("[N Only Old retention.xlsx]'Lake P Results'!Q438", 18.82)</f>
        <v>18.82</v>
      </c>
      <c r="BL442" s="27">
        <f>HYPERLINK("[N Only New retention.xlsx]'Lake P Results'!Q438", 19.67)</f>
        <v>19.670000000000002</v>
      </c>
      <c r="BM442" s="27">
        <f>HYPERLINK("[N Only with New retention and Differentiation.xlsx]'Lake P Results'!Q438", 19.67)</f>
        <v>19.670000000000002</v>
      </c>
      <c r="BN442" s="46">
        <f>BL442-BK442</f>
        <v>0.85000000000000142</v>
      </c>
      <c r="BO442" s="46">
        <f>BM442-BK442</f>
        <v>0.85000000000000142</v>
      </c>
    </row>
    <row r="443" spans="1:67" x14ac:dyDescent="0.55000000000000004">
      <c r="A443" s="31">
        <v>11006</v>
      </c>
      <c r="B443" s="5" t="s">
        <v>740</v>
      </c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</row>
    <row r="444" spans="1:67" x14ac:dyDescent="0.55000000000000004">
      <c r="A444" s="30">
        <v>11104</v>
      </c>
      <c r="B444" s="6" t="s">
        <v>741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27">
        <f>HYPERLINK("[N Only Old retention.xlsx]'Lake P Results'!M440", 5.67999999991903)</f>
        <v>5.6799999999190298</v>
      </c>
      <c r="AW444" s="18"/>
      <c r="AX444" s="18"/>
      <c r="AY444" s="47">
        <f>AW444-AV444</f>
        <v>-5.6799999999190298</v>
      </c>
      <c r="AZ444" s="47">
        <f>AX444-AV444</f>
        <v>-5.6799999999190298</v>
      </c>
      <c r="BA444" s="18"/>
      <c r="BB444" s="18"/>
      <c r="BC444" s="18"/>
      <c r="BD444" s="18"/>
      <c r="BE444" s="18"/>
      <c r="BF444" s="27">
        <f>HYPERLINK("[N Only Old retention.xlsx]'Lake P Results'!R440", 7.29)</f>
        <v>7.29</v>
      </c>
      <c r="BG444" s="27">
        <f>HYPERLINK("[N Only New retention.xlsx]'Lake P Results'!R440", 7.33)</f>
        <v>7.33</v>
      </c>
      <c r="BH444" s="27">
        <f>HYPERLINK("[N Only with New retention and Differentiation.xlsx]'Lake P Results'!R440", 7.33)</f>
        <v>7.33</v>
      </c>
      <c r="BI444" s="46">
        <f>BG444-BF444</f>
        <v>4.0000000000000036E-2</v>
      </c>
      <c r="BJ444" s="46">
        <f>BH444-BF444</f>
        <v>4.0000000000000036E-2</v>
      </c>
      <c r="BK444" s="27">
        <f>HYPERLINK("[N Only Old retention.xlsx]'Lake P Results'!Q440", 0.61)</f>
        <v>0.61</v>
      </c>
      <c r="BL444" s="27">
        <f>HYPERLINK("[N Only New retention.xlsx]'Lake P Results'!Q440", 0.61)</f>
        <v>0.61</v>
      </c>
      <c r="BM444" s="27">
        <f>HYPERLINK("[N Only with New retention and Differentiation.xlsx]'Lake P Results'!Q440", 0.61)</f>
        <v>0.61</v>
      </c>
      <c r="BN444" s="18"/>
      <c r="BO444" s="18"/>
    </row>
    <row r="445" spans="1:67" x14ac:dyDescent="0.55000000000000004">
      <c r="A445" s="31">
        <v>11105</v>
      </c>
      <c r="B445" s="5" t="s">
        <v>742</v>
      </c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</row>
    <row r="446" spans="1:67" x14ac:dyDescent="0.55000000000000004">
      <c r="A446" s="30">
        <v>11204</v>
      </c>
      <c r="B446" s="6" t="s">
        <v>743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</row>
    <row r="447" spans="1:67" x14ac:dyDescent="0.55000000000000004">
      <c r="A447" s="31">
        <v>11206</v>
      </c>
      <c r="B447" s="5" t="s">
        <v>744</v>
      </c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28">
        <f>HYPERLINK("[N Only Old retention.xlsx]'Lake P Results'!AH443", 1900)</f>
        <v>1900</v>
      </c>
      <c r="AR447" s="28">
        <f>HYPERLINK("[N Only New retention.xlsx]'Lake P Results'!AH443", 1900)</f>
        <v>1900</v>
      </c>
      <c r="AS447" s="28">
        <f>HYPERLINK("[N Only with New retention and Differentiation.xlsx]'Lake P Results'!AH443", 1900)</f>
        <v>1900</v>
      </c>
      <c r="AT447" s="13"/>
      <c r="AU447" s="13"/>
      <c r="AV447" s="29">
        <f>HYPERLINK("[N Only Old retention.xlsx]'Lake P Results'!M443", 1026.926)</f>
        <v>1026.9259999999999</v>
      </c>
      <c r="AW447" s="29">
        <f>HYPERLINK("[N Only New retention.xlsx]'Lake P Results'!M443", 1459.94399999994)</f>
        <v>1459.9439999999399</v>
      </c>
      <c r="AX447" s="29">
        <f>HYPERLINK("[N Only with New retention and Differentiation.xlsx]'Lake P Results'!M443", 1426.526)</f>
        <v>1426.5260000000001</v>
      </c>
      <c r="AY447" s="46">
        <f>AW447-AV447</f>
        <v>433.01799999994</v>
      </c>
      <c r="AZ447" s="46">
        <f>AX447-AV447</f>
        <v>399.60000000000014</v>
      </c>
      <c r="BA447" s="29">
        <f>HYPERLINK("[N Only Old retention.xlsx]'Lake P Results'!O443", 0.32)</f>
        <v>0.32</v>
      </c>
      <c r="BB447" s="29">
        <f>HYPERLINK("[N Only New retention.xlsx]'Lake P Results'!O443", 4.16)</f>
        <v>4.16</v>
      </c>
      <c r="BC447" s="29">
        <f>HYPERLINK("[N Only with New retention and Differentiation.xlsx]'Lake P Results'!O443", 31.098)</f>
        <v>31.097999999999999</v>
      </c>
      <c r="BD447" s="46">
        <f>BB447-BA447</f>
        <v>3.8400000000000003</v>
      </c>
      <c r="BE447" s="46">
        <f>BC447-BA447</f>
        <v>30.777999999999999</v>
      </c>
      <c r="BF447" s="13"/>
      <c r="BG447" s="13"/>
      <c r="BH447" s="13"/>
      <c r="BI447" s="13"/>
      <c r="BJ447" s="13"/>
      <c r="BK447" s="29">
        <f>HYPERLINK("[N Only Old retention.xlsx]'Lake P Results'!Q443", 13.66)</f>
        <v>13.66</v>
      </c>
      <c r="BL447" s="29">
        <f>HYPERLINK("[N Only New retention.xlsx]'Lake P Results'!Q443", 8.58)</f>
        <v>8.58</v>
      </c>
      <c r="BM447" s="29">
        <f>HYPERLINK("[N Only with New retention and Differentiation.xlsx]'Lake P Results'!Q443", 8.58)</f>
        <v>8.58</v>
      </c>
      <c r="BN447" s="47">
        <f>BL447-BK447</f>
        <v>-5.08</v>
      </c>
      <c r="BO447" s="47">
        <f>BM447-BK447</f>
        <v>-5.08</v>
      </c>
    </row>
    <row r="448" spans="1:67" x14ac:dyDescent="0.55000000000000004">
      <c r="A448" s="30">
        <v>11505</v>
      </c>
      <c r="B448" s="6" t="s">
        <v>745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</row>
    <row r="449" spans="1:67" x14ac:dyDescent="0.55000000000000004">
      <c r="A449" s="31">
        <v>11506</v>
      </c>
      <c r="B449" s="5" t="s">
        <v>746</v>
      </c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29">
        <f>HYPERLINK("[N Only Old retention.xlsx]'Lake P Results'!M445", 59.9799999999667)</f>
        <v>59.979999999966701</v>
      </c>
      <c r="AW449" s="29">
        <f>HYPERLINK("[N Only New retention.xlsx]'Lake P Results'!M445", 1.92)</f>
        <v>1.92</v>
      </c>
      <c r="AX449" s="29">
        <f>HYPERLINK("[N Only with New retention and Differentiation.xlsx]'Lake P Results'!M445", 1.92)</f>
        <v>1.92</v>
      </c>
      <c r="AY449" s="47">
        <f>AW449-AV449</f>
        <v>-58.059999999966699</v>
      </c>
      <c r="AZ449" s="47">
        <f>AX449-AV449</f>
        <v>-58.059999999966699</v>
      </c>
      <c r="BA449" s="13"/>
      <c r="BB449" s="13"/>
      <c r="BC449" s="13"/>
      <c r="BD449" s="13"/>
      <c r="BE449" s="13"/>
      <c r="BF449" s="29">
        <f>HYPERLINK("[N Only Old retention.xlsx]'Lake P Results'!R445", 0.0999999999999999)</f>
        <v>9.9999999999999895E-2</v>
      </c>
      <c r="BG449" s="29">
        <f>HYPERLINK("[N Only New retention.xlsx]'Lake P Results'!R445", 1.65)</f>
        <v>1.65</v>
      </c>
      <c r="BH449" s="29">
        <f>HYPERLINK("[N Only with New retention and Differentiation.xlsx]'Lake P Results'!R445", 1.65)</f>
        <v>1.65</v>
      </c>
      <c r="BI449" s="46">
        <f>BG449-BF449</f>
        <v>1.55</v>
      </c>
      <c r="BJ449" s="46">
        <f>BH449-BF449</f>
        <v>1.55</v>
      </c>
      <c r="BK449" s="29">
        <f>HYPERLINK("[N Only Old retention.xlsx]'Lake P Results'!Q445", 4.28400000000001)</f>
        <v>4.2840000000000096</v>
      </c>
      <c r="BL449" s="29">
        <f>HYPERLINK("[N Only New retention.xlsx]'Lake P Results'!Q445", 0.4)</f>
        <v>0.4</v>
      </c>
      <c r="BM449" s="29">
        <f>HYPERLINK("[N Only with New retention and Differentiation.xlsx]'Lake P Results'!Q445", 0.4)</f>
        <v>0.4</v>
      </c>
      <c r="BN449" s="47">
        <f>BL449-BK449</f>
        <v>-3.8840000000000097</v>
      </c>
      <c r="BO449" s="47">
        <f>BM449-BK449</f>
        <v>-3.8840000000000097</v>
      </c>
    </row>
    <row r="450" spans="1:67" x14ac:dyDescent="0.55000000000000004">
      <c r="A450" s="30">
        <v>36617</v>
      </c>
      <c r="B450" s="6" t="s">
        <v>747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</row>
    <row r="451" spans="1:67" x14ac:dyDescent="0.55000000000000004">
      <c r="A451" s="31">
        <v>36699</v>
      </c>
      <c r="B451" s="5" t="s">
        <v>748</v>
      </c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</row>
    <row r="452" spans="1:67" x14ac:dyDescent="0.55000000000000004">
      <c r="A452" s="30">
        <v>36799</v>
      </c>
      <c r="B452" s="6" t="s">
        <v>749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27">
        <f>HYPERLINK("[N Only Old retention.xlsx]'Lake P Results'!M448", 34.14)</f>
        <v>34.14</v>
      </c>
      <c r="AW452" s="27">
        <f>HYPERLINK("[N Only New retention.xlsx]'Lake P Results'!M448", 39.9)</f>
        <v>39.9</v>
      </c>
      <c r="AX452" s="27">
        <f>HYPERLINK("[N Only with New retention and Differentiation.xlsx]'Lake P Results'!M448", 41.4)</f>
        <v>41.4</v>
      </c>
      <c r="AY452" s="46">
        <f>AW452-AV452</f>
        <v>5.759999999999998</v>
      </c>
      <c r="AZ452" s="46">
        <f>AX452-AV452</f>
        <v>7.259999999999998</v>
      </c>
      <c r="BA452" s="18"/>
      <c r="BB452" s="18"/>
      <c r="BC452" s="18"/>
      <c r="BD452" s="18"/>
      <c r="BE452" s="18"/>
      <c r="BF452" s="27">
        <f>HYPERLINK("[N Only Old retention.xlsx]'Lake P Results'!R448", 1.95)</f>
        <v>1.95</v>
      </c>
      <c r="BG452" s="18"/>
      <c r="BH452" s="18"/>
      <c r="BI452" s="47">
        <f>BG452-BF452</f>
        <v>-1.95</v>
      </c>
      <c r="BJ452" s="47">
        <f>BH452-BF452</f>
        <v>-1.95</v>
      </c>
      <c r="BK452" s="27">
        <f>HYPERLINK("[N Only Old retention.xlsx]'Lake P Results'!Q448", 3.72)</f>
        <v>3.72</v>
      </c>
      <c r="BL452" s="27">
        <f>HYPERLINK("[N Only New retention.xlsx]'Lake P Results'!Q448", 4.42)</f>
        <v>4.42</v>
      </c>
      <c r="BM452" s="27">
        <f>HYPERLINK("[N Only with New retention and Differentiation.xlsx]'Lake P Results'!Q448", 4.42)</f>
        <v>4.42</v>
      </c>
      <c r="BN452" s="46">
        <f>BL452-BK452</f>
        <v>0.69999999999999973</v>
      </c>
      <c r="BO452" s="46">
        <f>BM452-BK452</f>
        <v>0.69999999999999973</v>
      </c>
    </row>
    <row r="453" spans="1:67" x14ac:dyDescent="0.55000000000000004">
      <c r="A453" s="23"/>
      <c r="B453" s="24" t="s">
        <v>131</v>
      </c>
      <c r="C453" s="34"/>
      <c r="D453" s="34"/>
      <c r="E453" s="34"/>
      <c r="F453" s="48"/>
      <c r="G453" s="48"/>
      <c r="H453" s="25"/>
      <c r="I453" s="25"/>
      <c r="J453" s="25"/>
      <c r="K453" s="48"/>
      <c r="L453" s="48"/>
      <c r="M453" s="34"/>
      <c r="N453" s="34"/>
      <c r="O453" s="34"/>
      <c r="P453" s="48"/>
      <c r="Q453" s="48"/>
      <c r="R453" s="34"/>
      <c r="S453" s="34"/>
      <c r="T453" s="34"/>
      <c r="U453" s="48"/>
      <c r="V453" s="48"/>
      <c r="W453" s="34"/>
      <c r="X453" s="34"/>
      <c r="Y453" s="34"/>
      <c r="Z453" s="48"/>
      <c r="AA453" s="48"/>
      <c r="AB453" s="34">
        <v>1.03</v>
      </c>
      <c r="AC453" s="34">
        <v>0.65</v>
      </c>
      <c r="AD453" s="34">
        <v>0.108</v>
      </c>
      <c r="AE453" s="48">
        <f>AC453-AB453</f>
        <v>-0.38</v>
      </c>
      <c r="AF453" s="48">
        <f>AD453-AB453</f>
        <v>-0.92200000000000004</v>
      </c>
      <c r="AG453" s="34"/>
      <c r="AH453" s="34"/>
      <c r="AI453" s="34"/>
      <c r="AJ453" s="48"/>
      <c r="AK453" s="48"/>
      <c r="AL453" s="34"/>
      <c r="AM453" s="34"/>
      <c r="AN453" s="34"/>
      <c r="AO453" s="48"/>
      <c r="AP453" s="48"/>
      <c r="AQ453" s="25">
        <v>1900</v>
      </c>
      <c r="AR453" s="25">
        <v>3650</v>
      </c>
      <c r="AS453" s="25">
        <v>3650</v>
      </c>
      <c r="AT453" s="48">
        <f>AR453-AQ453</f>
        <v>1750</v>
      </c>
      <c r="AU453" s="48">
        <f>AS453-AQ453</f>
        <v>1750</v>
      </c>
      <c r="AV453" s="34">
        <v>27322.935999997801</v>
      </c>
      <c r="AW453" s="34">
        <v>27366.1594476071</v>
      </c>
      <c r="AX453" s="34">
        <v>25152.639999999901</v>
      </c>
      <c r="AY453" s="48">
        <f>AW453-AV453</f>
        <v>43.22344760929991</v>
      </c>
      <c r="AZ453" s="48">
        <f>AX453-AV453</f>
        <v>-2170.2959999978993</v>
      </c>
      <c r="BA453" s="34">
        <v>10314.0099999998</v>
      </c>
      <c r="BB453" s="34">
        <v>10253.1784927971</v>
      </c>
      <c r="BC453" s="34">
        <v>12625.8339404052</v>
      </c>
      <c r="BD453" s="48">
        <f>BB453-BA453</f>
        <v>-60.831507202699868</v>
      </c>
      <c r="BE453" s="48">
        <f>BC453-BA453</f>
        <v>2311.8239404054002</v>
      </c>
      <c r="BF453" s="34">
        <v>3796.1526574464901</v>
      </c>
      <c r="BG453" s="34">
        <v>2924.7417996731001</v>
      </c>
      <c r="BH453" s="34">
        <v>2970.2657996731</v>
      </c>
      <c r="BI453" s="48">
        <f>BG453-BF453</f>
        <v>-871.41085777339003</v>
      </c>
      <c r="BJ453" s="48">
        <f>BH453-BF453</f>
        <v>-825.88685777339015</v>
      </c>
      <c r="BK453" s="34">
        <v>3117.4320582955902</v>
      </c>
      <c r="BL453" s="34">
        <v>3091.07739882035</v>
      </c>
      <c r="BM453" s="34">
        <v>3157.13739882033</v>
      </c>
      <c r="BN453" s="48">
        <f>BL453-BK453</f>
        <v>-26.354659475240169</v>
      </c>
      <c r="BO453" s="48">
        <f>BM453-BK453</f>
        <v>39.705340524739768</v>
      </c>
    </row>
    <row r="455" spans="1:67" ht="18" customHeight="1" x14ac:dyDescent="0.55000000000000004">
      <c r="A455" s="62" t="s">
        <v>299</v>
      </c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  <c r="BN455" s="62"/>
      <c r="BO455" s="62"/>
    </row>
    <row r="456" spans="1:67" x14ac:dyDescent="0.55000000000000004">
      <c r="A456" s="30">
        <v>26</v>
      </c>
      <c r="B456" s="6" t="s">
        <v>319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</row>
    <row r="457" spans="1:67" x14ac:dyDescent="0.55000000000000004">
      <c r="A457" s="31">
        <v>32</v>
      </c>
      <c r="B457" s="5" t="s">
        <v>320</v>
      </c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29">
        <f>HYPERLINK("[N&amp;P New retention.xlsx]'Lake P Results'!O3", 0.256)</f>
        <v>0.25600000000000001</v>
      </c>
      <c r="BC457" s="29">
        <f>HYPERLINK("[N&amp;P with New retention and Differentiation.xlsx]'Lake P Results'!O3", 0.256)</f>
        <v>0.25600000000000001</v>
      </c>
      <c r="BD457" s="46">
        <f>BB457-BA457</f>
        <v>0.25600000000000001</v>
      </c>
      <c r="BE457" s="46">
        <f>BC457-BA457</f>
        <v>0.25600000000000001</v>
      </c>
      <c r="BF457" s="13"/>
      <c r="BG457" s="13"/>
      <c r="BH457" s="13"/>
      <c r="BI457" s="13"/>
      <c r="BJ457" s="13"/>
      <c r="BK457" s="29">
        <f>HYPERLINK("[N&amp;P Old retention.xlsx]'Lake P Results'!Q3", 0.028)</f>
        <v>2.8000000000000001E-2</v>
      </c>
      <c r="BL457" s="29">
        <f>HYPERLINK("[N&amp;P New retention.xlsx]'Lake P Results'!Q3", 3.30019047619048)</f>
        <v>3.3001904761904801</v>
      </c>
      <c r="BM457" s="29">
        <f>HYPERLINK("[N&amp;P with New retention and Differentiation.xlsx]'Lake P Results'!Q3", 3.30019047619048)</f>
        <v>3.3001904761904801</v>
      </c>
      <c r="BN457" s="46">
        <f>BL457-BK457</f>
        <v>3.2721904761904801</v>
      </c>
      <c r="BO457" s="46">
        <f>BM457-BK457</f>
        <v>3.2721904761904801</v>
      </c>
    </row>
    <row r="458" spans="1:67" x14ac:dyDescent="0.55000000000000004">
      <c r="A458" s="30">
        <v>34</v>
      </c>
      <c r="B458" s="6" t="s">
        <v>321</v>
      </c>
      <c r="C458" s="18"/>
      <c r="D458" s="18"/>
      <c r="E458" s="18"/>
      <c r="F458" s="18"/>
      <c r="G458" s="18"/>
      <c r="H458" s="26">
        <f>HYPERLINK("[N&amp;P Old retention.xlsx]'Lake P Results'!AM4", 700)</f>
        <v>700</v>
      </c>
      <c r="I458" s="26">
        <f>HYPERLINK("[N&amp;P New retention.xlsx]'Lake P Results'!AM4", 700)</f>
        <v>700</v>
      </c>
      <c r="J458" s="26">
        <f>HYPERLINK("[N&amp;P with New retention and Differentiation.xlsx]'Lake P Results'!AM4", 700)</f>
        <v>700</v>
      </c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27">
        <f>HYPERLINK("[N&amp;P Old retention.xlsx]'Lake P Results'!M4", 22.742)</f>
        <v>22.742000000000001</v>
      </c>
      <c r="AW458" s="27">
        <f>HYPERLINK("[N&amp;P New retention.xlsx]'Lake P Results'!M4", 15.382)</f>
        <v>15.382</v>
      </c>
      <c r="AX458" s="27">
        <f>HYPERLINK("[N&amp;P with New retention and Differentiation.xlsx]'Lake P Results'!M4", 15.382)</f>
        <v>15.382</v>
      </c>
      <c r="AY458" s="47">
        <f>AW458-AV458</f>
        <v>-7.3600000000000012</v>
      </c>
      <c r="AZ458" s="47">
        <f>AX458-AV458</f>
        <v>-7.3600000000000012</v>
      </c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</row>
    <row r="459" spans="1:67" x14ac:dyDescent="0.55000000000000004">
      <c r="A459" s="31">
        <v>36</v>
      </c>
      <c r="B459" s="5" t="s">
        <v>322</v>
      </c>
      <c r="C459" s="29">
        <f>HYPERLINK("[N&amp;P Old retention.xlsx]'Lake P Results'!AE5", 14.872)</f>
        <v>14.872</v>
      </c>
      <c r="D459" s="29">
        <f>HYPERLINK("[N&amp;P New retention.xlsx]'Lake P Results'!AE5", 14.93)</f>
        <v>14.93</v>
      </c>
      <c r="E459" s="29">
        <f>HYPERLINK("[N&amp;P with New retention and Differentiation.xlsx]'Lake P Results'!AE5", 14.81)</f>
        <v>14.81</v>
      </c>
      <c r="F459" s="46">
        <f>D459-C459</f>
        <v>5.7999999999999829E-2</v>
      </c>
      <c r="G459" s="47">
        <f>E459-C459</f>
        <v>-6.1999999999999389E-2</v>
      </c>
      <c r="H459" s="28">
        <f>HYPERLINK("[N&amp;P Old retention.xlsx]'Lake P Results'!AM5", 27800)</f>
        <v>27800</v>
      </c>
      <c r="I459" s="28">
        <f>HYPERLINK("[N&amp;P New retention.xlsx]'Lake P Results'!AM5", 27500)</f>
        <v>27500</v>
      </c>
      <c r="J459" s="28">
        <f>HYPERLINK("[N&amp;P with New retention and Differentiation.xlsx]'Lake P Results'!AM5", 28000)</f>
        <v>28000</v>
      </c>
      <c r="K459" s="21">
        <f>I459-H459</f>
        <v>-300</v>
      </c>
      <c r="L459" s="16">
        <f>J459-H459</f>
        <v>200</v>
      </c>
      <c r="M459" s="29">
        <f>HYPERLINK("[N&amp;P Old retention.xlsx]'Lake P Results'!AC5", 0.086)</f>
        <v>8.5999999999999993E-2</v>
      </c>
      <c r="N459" s="13"/>
      <c r="O459" s="13"/>
      <c r="P459" s="47">
        <f>N459-M459</f>
        <v>-8.5999999999999993E-2</v>
      </c>
      <c r="Q459" s="47">
        <f>O459-M459</f>
        <v>-8.5999999999999993E-2</v>
      </c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29">
        <f>HYPERLINK("[N&amp;P Old retention.xlsx]'Lake P Results'!AA5", 3.432)</f>
        <v>3.4319999999999999</v>
      </c>
      <c r="AH459" s="29">
        <f>HYPERLINK("[N&amp;P New retention.xlsx]'Lake P Results'!AA5", 3.432)</f>
        <v>3.4319999999999999</v>
      </c>
      <c r="AI459" s="29">
        <f>HYPERLINK("[N&amp;P with New retention and Differentiation.xlsx]'Lake P Results'!AA5", 3.432)</f>
        <v>3.4319999999999999</v>
      </c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</row>
    <row r="460" spans="1:67" x14ac:dyDescent="0.55000000000000004">
      <c r="A460" s="30">
        <v>37</v>
      </c>
      <c r="B460" s="6" t="s">
        <v>323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27">
        <f>HYPERLINK("[N&amp;P Old retention.xlsx]'Lake P Results'!O6", 11.736)</f>
        <v>11.736000000000001</v>
      </c>
      <c r="BB460" s="27">
        <f>HYPERLINK("[N&amp;P New retention.xlsx]'Lake P Results'!O6", 11.736)</f>
        <v>11.736000000000001</v>
      </c>
      <c r="BC460" s="27">
        <f>HYPERLINK("[N&amp;P with New retention and Differentiation.xlsx]'Lake P Results'!O6", 11.736)</f>
        <v>11.736000000000001</v>
      </c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</row>
    <row r="461" spans="1:67" x14ac:dyDescent="0.55000000000000004">
      <c r="A461" s="31">
        <v>38</v>
      </c>
      <c r="B461" s="5" t="s">
        <v>324</v>
      </c>
      <c r="C461" s="29">
        <f>HYPERLINK("[N&amp;P Old retention.xlsx]'Lake P Results'!AE7", 7.484)</f>
        <v>7.484</v>
      </c>
      <c r="D461" s="29">
        <f>HYPERLINK("[N&amp;P New retention.xlsx]'Lake P Results'!AE7", 7.54999999999999)</f>
        <v>7.5499999999999901</v>
      </c>
      <c r="E461" s="29">
        <f>HYPERLINK("[N&amp;P with New retention and Differentiation.xlsx]'Lake P Results'!AE7", 7.558)</f>
        <v>7.5579999999999998</v>
      </c>
      <c r="F461" s="46">
        <f>D461-C461</f>
        <v>6.5999999999990067E-2</v>
      </c>
      <c r="G461" s="46">
        <f>E461-C461</f>
        <v>7.3999999999999844E-2</v>
      </c>
      <c r="H461" s="28">
        <f>HYPERLINK("[N&amp;P Old retention.xlsx]'Lake P Results'!AM7", 4900)</f>
        <v>4900</v>
      </c>
      <c r="I461" s="28">
        <f>HYPERLINK("[N&amp;P New retention.xlsx]'Lake P Results'!AM7", 4900)</f>
        <v>4900</v>
      </c>
      <c r="J461" s="28">
        <f>HYPERLINK("[N&amp;P with New retention and Differentiation.xlsx]'Lake P Results'!AM7", 4900)</f>
        <v>4900</v>
      </c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29">
        <f>HYPERLINK("[N&amp;P Old retention.xlsx]'Lake P Results'!V7", 38.43)</f>
        <v>38.43</v>
      </c>
      <c r="X461" s="29">
        <f>HYPERLINK("[N&amp;P New retention.xlsx]'Lake P Results'!V7", 38.43)</f>
        <v>38.43</v>
      </c>
      <c r="Y461" s="29">
        <f>HYPERLINK("[N&amp;P with New retention and Differentiation.xlsx]'Lake P Results'!V7", 38.43)</f>
        <v>38.43</v>
      </c>
      <c r="Z461" s="13"/>
      <c r="AA461" s="13"/>
      <c r="AB461" s="29">
        <f>HYPERLINK("[N&amp;P Old retention.xlsx]'Lake P Results'!Z7", 36.584)</f>
        <v>36.584000000000003</v>
      </c>
      <c r="AC461" s="29">
        <f>HYPERLINK("[N&amp;P New retention.xlsx]'Lake P Results'!Z7", 36.584)</f>
        <v>36.584000000000003</v>
      </c>
      <c r="AD461" s="29">
        <f>HYPERLINK("[N&amp;P with New retention and Differentiation.xlsx]'Lake P Results'!Z7", 35.27)</f>
        <v>35.270000000000003</v>
      </c>
      <c r="AE461" s="13"/>
      <c r="AF461" s="47">
        <f>AD461-AB461</f>
        <v>-1.3140000000000001</v>
      </c>
      <c r="AG461" s="29">
        <f>HYPERLINK("[N&amp;P Old retention.xlsx]'Lake P Results'!AA7", 0.39)</f>
        <v>0.39</v>
      </c>
      <c r="AH461" s="29">
        <f>HYPERLINK("[N&amp;P New retention.xlsx]'Lake P Results'!AA7", 0.29)</f>
        <v>0.28999999999999998</v>
      </c>
      <c r="AI461" s="29">
        <f>HYPERLINK("[N&amp;P with New retention and Differentiation.xlsx]'Lake P Results'!AA7", 0.29)</f>
        <v>0.28999999999999998</v>
      </c>
      <c r="AJ461" s="47">
        <f>AH461-AG461</f>
        <v>-0.10000000000000003</v>
      </c>
      <c r="AK461" s="47">
        <f>AI461-AG461</f>
        <v>-0.10000000000000003</v>
      </c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29">
        <f>HYPERLINK("[N&amp;P Old retention.xlsx]'Lake P Results'!O7", 64.19)</f>
        <v>64.19</v>
      </c>
      <c r="BB461" s="29">
        <f>HYPERLINK("[N&amp;P New retention.xlsx]'Lake P Results'!O7", 62.83)</f>
        <v>62.83</v>
      </c>
      <c r="BC461" s="29">
        <f>HYPERLINK("[N&amp;P with New retention and Differentiation.xlsx]'Lake P Results'!O7", 61.82)</f>
        <v>61.82</v>
      </c>
      <c r="BD461" s="47">
        <f>BB461-BA461</f>
        <v>-1.3599999999999994</v>
      </c>
      <c r="BE461" s="47">
        <f>BC461-BA461</f>
        <v>-2.3699999999999974</v>
      </c>
      <c r="BF461" s="13"/>
      <c r="BG461" s="13"/>
      <c r="BH461" s="13"/>
      <c r="BI461" s="13"/>
      <c r="BJ461" s="13"/>
      <c r="BK461" s="13"/>
      <c r="BL461" s="13"/>
      <c r="BM461" s="29">
        <f>HYPERLINK("[N&amp;P with New retention and Differentiation.xlsx]'Lake P Results'!Q7", 0.39)</f>
        <v>0.39</v>
      </c>
      <c r="BN461" s="13"/>
      <c r="BO461" s="46">
        <f>BM461-BK461</f>
        <v>0.39</v>
      </c>
    </row>
    <row r="462" spans="1:67" x14ac:dyDescent="0.55000000000000004">
      <c r="A462" s="30">
        <v>43</v>
      </c>
      <c r="B462" s="6" t="s">
        <v>325</v>
      </c>
      <c r="C462" s="18"/>
      <c r="D462" s="18"/>
      <c r="E462" s="18"/>
      <c r="F462" s="18"/>
      <c r="G462" s="18"/>
      <c r="H462" s="26">
        <f>HYPERLINK("[N&amp;P Old retention.xlsx]'Lake P Results'!AM8", 800)</f>
        <v>800</v>
      </c>
      <c r="I462" s="26">
        <f>HYPERLINK("[N&amp;P New retention.xlsx]'Lake P Results'!AM8", 800)</f>
        <v>800</v>
      </c>
      <c r="J462" s="26">
        <f>HYPERLINK("[N&amp;P with New retention and Differentiation.xlsx]'Lake P Results'!AM8", 800)</f>
        <v>800</v>
      </c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</row>
    <row r="463" spans="1:67" x14ac:dyDescent="0.55000000000000004">
      <c r="A463" s="31">
        <v>50</v>
      </c>
      <c r="B463" s="5" t="s">
        <v>326</v>
      </c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29">
        <f>HYPERLINK("[N&amp;P New retention.xlsx]'Lake P Results'!R9", 0.0399999999999999)</f>
        <v>3.9999999999999897E-2</v>
      </c>
      <c r="BH463" s="29">
        <f>HYPERLINK("[N&amp;P with New retention and Differentiation.xlsx]'Lake P Results'!R9", 0.0399999999999999)</f>
        <v>3.9999999999999897E-2</v>
      </c>
      <c r="BI463" s="46">
        <f>BG463-BF463</f>
        <v>3.9999999999999897E-2</v>
      </c>
      <c r="BJ463" s="46">
        <f>BH463-BF463</f>
        <v>3.9999999999999897E-2</v>
      </c>
      <c r="BK463" s="29">
        <f>HYPERLINK("[N&amp;P Old retention.xlsx]'Lake P Results'!Q9", 1.58)</f>
        <v>1.58</v>
      </c>
      <c r="BL463" s="29">
        <f>HYPERLINK("[N&amp;P New retention.xlsx]'Lake P Results'!Q9", 0.720000000000001)</f>
        <v>0.72000000000000097</v>
      </c>
      <c r="BM463" s="29">
        <f>HYPERLINK("[N&amp;P with New retention and Differentiation.xlsx]'Lake P Results'!Q9", 0.650000000000001)</f>
        <v>0.65000000000000102</v>
      </c>
      <c r="BN463" s="47">
        <f>BL463-BK463</f>
        <v>-0.8599999999999991</v>
      </c>
      <c r="BO463" s="47">
        <f>BM463-BK463</f>
        <v>-0.92999999999999905</v>
      </c>
    </row>
    <row r="464" spans="1:67" x14ac:dyDescent="0.55000000000000004">
      <c r="A464" s="30">
        <v>51</v>
      </c>
      <c r="B464" s="6" t="s">
        <v>327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27">
        <f>HYPERLINK("[N&amp;P Old retention.xlsx]'Lake P Results'!M10", 9.07)</f>
        <v>9.07</v>
      </c>
      <c r="AW464" s="27">
        <f>HYPERLINK("[N&amp;P New retention.xlsx]'Lake P Results'!M10", 15.9)</f>
        <v>15.9</v>
      </c>
      <c r="AX464" s="27">
        <f>HYPERLINK("[N&amp;P with New retention and Differentiation.xlsx]'Lake P Results'!M10", 15.9)</f>
        <v>15.9</v>
      </c>
      <c r="AY464" s="46">
        <f>AW464-AV464</f>
        <v>6.83</v>
      </c>
      <c r="AZ464" s="46">
        <f>AX464-AV464</f>
        <v>6.83</v>
      </c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27">
        <f>HYPERLINK("[N&amp;P Old retention.xlsx]'Lake P Results'!Q10", 3.81)</f>
        <v>3.81</v>
      </c>
      <c r="BL464" s="27">
        <f>HYPERLINK("[N&amp;P New retention.xlsx]'Lake P Results'!Q10", 2.52)</f>
        <v>2.52</v>
      </c>
      <c r="BM464" s="27">
        <f>HYPERLINK("[N&amp;P with New retention and Differentiation.xlsx]'Lake P Results'!Q10", 2.52)</f>
        <v>2.52</v>
      </c>
      <c r="BN464" s="47">
        <f>BL464-BK464</f>
        <v>-1.29</v>
      </c>
      <c r="BO464" s="47">
        <f>BM464-BK464</f>
        <v>-1.29</v>
      </c>
    </row>
    <row r="465" spans="1:67" x14ac:dyDescent="0.55000000000000004">
      <c r="A465" s="31">
        <v>52</v>
      </c>
      <c r="B465" s="5" t="s">
        <v>328</v>
      </c>
      <c r="C465" s="29">
        <f>HYPERLINK("[N&amp;P Old retention.xlsx]'Lake P Results'!AE11", 7.73799999999999)</f>
        <v>7.7379999999999898</v>
      </c>
      <c r="D465" s="29">
        <f>HYPERLINK("[N&amp;P New retention.xlsx]'Lake P Results'!AE11", 7.768)</f>
        <v>7.7679999999999998</v>
      </c>
      <c r="E465" s="29">
        <f>HYPERLINK("[N&amp;P with New retention and Differentiation.xlsx]'Lake P Results'!AE11", 7.768)</f>
        <v>7.7679999999999998</v>
      </c>
      <c r="F465" s="46">
        <f>D465-C465</f>
        <v>3.0000000000010019E-2</v>
      </c>
      <c r="G465" s="46">
        <f>E465-C465</f>
        <v>3.0000000000010019E-2</v>
      </c>
      <c r="H465" s="28">
        <f>HYPERLINK("[N&amp;P Old retention.xlsx]'Lake P Results'!AM11", 8000)</f>
        <v>8000</v>
      </c>
      <c r="I465" s="28">
        <f>HYPERLINK("[N&amp;P New retention.xlsx]'Lake P Results'!AM11", 7300)</f>
        <v>7300</v>
      </c>
      <c r="J465" s="28">
        <f>HYPERLINK("[N&amp;P with New retention and Differentiation.xlsx]'Lake P Results'!AM11", 7200)</f>
        <v>7200</v>
      </c>
      <c r="K465" s="21">
        <f>I465-H465</f>
        <v>-700</v>
      </c>
      <c r="L465" s="21">
        <f>J465-H465</f>
        <v>-800</v>
      </c>
      <c r="M465" s="29">
        <f>HYPERLINK("[N&amp;P Old retention.xlsx]'Lake P Results'!AC11", 218.306)</f>
        <v>218.30600000000001</v>
      </c>
      <c r="N465" s="29">
        <f>HYPERLINK("[N&amp;P New retention.xlsx]'Lake P Results'!AC11", 435.976)</f>
        <v>435.976</v>
      </c>
      <c r="O465" s="29">
        <f>HYPERLINK("[N&amp;P with New retention and Differentiation.xlsx]'Lake P Results'!AC11", 408.886)</f>
        <v>408.88600000000002</v>
      </c>
      <c r="P465" s="46">
        <f>N465-M465</f>
        <v>217.67</v>
      </c>
      <c r="Q465" s="46">
        <f>O465-M465</f>
        <v>190.58</v>
      </c>
      <c r="R465" s="29">
        <f>HYPERLINK("[N&amp;P Old retention.xlsx]'Lake P Results'!Y11", 28.93)</f>
        <v>28.93</v>
      </c>
      <c r="S465" s="29">
        <f>HYPERLINK("[N&amp;P New retention.xlsx]'Lake P Results'!Y11", 14.87)</f>
        <v>14.87</v>
      </c>
      <c r="T465" s="29">
        <f>HYPERLINK("[N&amp;P with New retention and Differentiation.xlsx]'Lake P Results'!Y11", 15.67)</f>
        <v>15.67</v>
      </c>
      <c r="U465" s="47">
        <f>S465-R465</f>
        <v>-14.06</v>
      </c>
      <c r="V465" s="47">
        <f>T465-R465</f>
        <v>-13.26</v>
      </c>
      <c r="W465" s="29">
        <f>HYPERLINK("[N&amp;P Old retention.xlsx]'Lake P Results'!V11", 38.58)</f>
        <v>38.58</v>
      </c>
      <c r="X465" s="13"/>
      <c r="Y465" s="13"/>
      <c r="Z465" s="47">
        <f>X465-W465</f>
        <v>-38.58</v>
      </c>
      <c r="AA465" s="47">
        <f>Y465-W465</f>
        <v>-38.58</v>
      </c>
      <c r="AB465" s="29">
        <f>HYPERLINK("[N&amp;P Old retention.xlsx]'Lake P Results'!Z11", 9.72)</f>
        <v>9.7200000000000006</v>
      </c>
      <c r="AC465" s="29">
        <f>HYPERLINK("[N&amp;P New retention.xlsx]'Lake P Results'!Z11", 25.12)</f>
        <v>25.12</v>
      </c>
      <c r="AD465" s="29">
        <f>HYPERLINK("[N&amp;P with New retention and Differentiation.xlsx]'Lake P Results'!Z11", 55.47)</f>
        <v>55.47</v>
      </c>
      <c r="AE465" s="46">
        <f>AC465-AB465</f>
        <v>15.4</v>
      </c>
      <c r="AF465" s="46">
        <f>AD465-AB465</f>
        <v>45.75</v>
      </c>
      <c r="AG465" s="29">
        <f>HYPERLINK("[N&amp;P Old retention.xlsx]'Lake P Results'!AA11", 21.32)</f>
        <v>21.32</v>
      </c>
      <c r="AH465" s="29">
        <f>HYPERLINK("[N&amp;P New retention.xlsx]'Lake P Results'!AA11", 28.804)</f>
        <v>28.803999999999998</v>
      </c>
      <c r="AI465" s="29">
        <f>HYPERLINK("[N&amp;P with New retention and Differentiation.xlsx]'Lake P Results'!AA11", 28.804)</f>
        <v>28.803999999999998</v>
      </c>
      <c r="AJ465" s="46">
        <f>AH465-AG465</f>
        <v>7.4839999999999982</v>
      </c>
      <c r="AK465" s="46">
        <f>AI465-AG465</f>
        <v>7.4839999999999982</v>
      </c>
      <c r="AL465" s="29">
        <f>HYPERLINK("[N&amp;P Old retention.xlsx]'Lake P Results'!AF11", 0.0900000000000001)</f>
        <v>9.0000000000000094E-2</v>
      </c>
      <c r="AM465" s="13"/>
      <c r="AN465" s="13"/>
      <c r="AO465" s="47">
        <f>AM465-AL465</f>
        <v>-9.0000000000000094E-2</v>
      </c>
      <c r="AP465" s="47">
        <f>AN465-AL465</f>
        <v>-9.0000000000000094E-2</v>
      </c>
      <c r="AQ465" s="13"/>
      <c r="AR465" s="13"/>
      <c r="AS465" s="13"/>
      <c r="AT465" s="13"/>
      <c r="AU465" s="13"/>
      <c r="AV465" s="29">
        <f>HYPERLINK("[N&amp;P Old retention.xlsx]'Lake P Results'!M11", 177.526)</f>
        <v>177.52600000000001</v>
      </c>
      <c r="AW465" s="29">
        <f>HYPERLINK("[N&amp;P New retention.xlsx]'Lake P Results'!M11", 62.016)</f>
        <v>62.015999999999998</v>
      </c>
      <c r="AX465" s="29">
        <f>HYPERLINK("[N&amp;P with New retention and Differentiation.xlsx]'Lake P Results'!M11", 62.016)</f>
        <v>62.015999999999998</v>
      </c>
      <c r="AY465" s="47">
        <f>AW465-AV465</f>
        <v>-115.51000000000002</v>
      </c>
      <c r="AZ465" s="47">
        <f>AX465-AV465</f>
        <v>-115.51000000000002</v>
      </c>
      <c r="BA465" s="29">
        <f>HYPERLINK("[N&amp;P Old retention.xlsx]'Lake P Results'!O11", 44.36)</f>
        <v>44.36</v>
      </c>
      <c r="BB465" s="29">
        <f>HYPERLINK("[N&amp;P New retention.xlsx]'Lake P Results'!O11", 24.61)</f>
        <v>24.61</v>
      </c>
      <c r="BC465" s="29">
        <f>HYPERLINK("[N&amp;P with New retention and Differentiation.xlsx]'Lake P Results'!O11", 24.61)</f>
        <v>24.61</v>
      </c>
      <c r="BD465" s="47">
        <f>BB465-BA465</f>
        <v>-19.75</v>
      </c>
      <c r="BE465" s="47">
        <f>BC465-BA465</f>
        <v>-19.75</v>
      </c>
      <c r="BF465" s="29">
        <f>HYPERLINK("[N&amp;P Old retention.xlsx]'Lake P Results'!R11", 61.54)</f>
        <v>61.54</v>
      </c>
      <c r="BG465" s="29">
        <f>HYPERLINK("[N&amp;P New retention.xlsx]'Lake P Results'!R11", 62.22)</f>
        <v>62.22</v>
      </c>
      <c r="BH465" s="29">
        <f>HYPERLINK("[N&amp;P with New retention and Differentiation.xlsx]'Lake P Results'!R11", 62.22)</f>
        <v>62.22</v>
      </c>
      <c r="BI465" s="46">
        <f>BG465-BF465</f>
        <v>0.67999999999999972</v>
      </c>
      <c r="BJ465" s="46">
        <f>BH465-BF465</f>
        <v>0.67999999999999972</v>
      </c>
      <c r="BK465" s="29">
        <f>HYPERLINK("[N&amp;P Old retention.xlsx]'Lake P Results'!Q11", 1.12)</f>
        <v>1.1200000000000001</v>
      </c>
      <c r="BL465" s="13"/>
      <c r="BM465" s="13"/>
      <c r="BN465" s="47">
        <f>BL465-BK465</f>
        <v>-1.1200000000000001</v>
      </c>
      <c r="BO465" s="47">
        <f>BM465-BK465</f>
        <v>-1.1200000000000001</v>
      </c>
    </row>
    <row r="466" spans="1:67" x14ac:dyDescent="0.55000000000000004">
      <c r="A466" s="30">
        <v>53</v>
      </c>
      <c r="B466" s="6" t="s">
        <v>329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27">
        <f>HYPERLINK("[N&amp;P Old retention.xlsx]'Lake P Results'!O12", 137.04)</f>
        <v>137.04</v>
      </c>
      <c r="BB466" s="27">
        <f>HYPERLINK("[N&amp;P New retention.xlsx]'Lake P Results'!O12", 4.91)</f>
        <v>4.91</v>
      </c>
      <c r="BC466" s="27">
        <f>HYPERLINK("[N&amp;P with New retention and Differentiation.xlsx]'Lake P Results'!O12", 4.91)</f>
        <v>4.91</v>
      </c>
      <c r="BD466" s="47">
        <f>BB466-BA466</f>
        <v>-132.13</v>
      </c>
      <c r="BE466" s="47">
        <f>BC466-BA466</f>
        <v>-132.13</v>
      </c>
      <c r="BF466" s="27">
        <f>HYPERLINK("[N&amp;P Old retention.xlsx]'Lake P Results'!R12", 1.01)</f>
        <v>1.01</v>
      </c>
      <c r="BG466" s="18"/>
      <c r="BH466" s="18"/>
      <c r="BI466" s="47">
        <f>BG466-BF466</f>
        <v>-1.01</v>
      </c>
      <c r="BJ466" s="47">
        <f>BH466-BF466</f>
        <v>-1.01</v>
      </c>
      <c r="BK466" s="27">
        <f>HYPERLINK("[N&amp;P Old retention.xlsx]'Lake P Results'!Q12", 13.73)</f>
        <v>13.73</v>
      </c>
      <c r="BL466" s="27">
        <f>HYPERLINK("[N&amp;P New retention.xlsx]'Lake P Results'!Q12", 7.53)</f>
        <v>7.53</v>
      </c>
      <c r="BM466" s="27">
        <f>HYPERLINK("[N&amp;P with New retention and Differentiation.xlsx]'Lake P Results'!Q12", 8.41)</f>
        <v>8.41</v>
      </c>
      <c r="BN466" s="47">
        <f>BL466-BK466</f>
        <v>-6.2</v>
      </c>
      <c r="BO466" s="47">
        <f>BM466-BK466</f>
        <v>-5.32</v>
      </c>
    </row>
    <row r="467" spans="1:67" x14ac:dyDescent="0.55000000000000004">
      <c r="A467" s="31">
        <v>58</v>
      </c>
      <c r="B467" s="5" t="s">
        <v>330</v>
      </c>
      <c r="C467" s="13"/>
      <c r="D467" s="13"/>
      <c r="E467" s="13"/>
      <c r="F467" s="13"/>
      <c r="G467" s="13"/>
      <c r="H467" s="28">
        <f>HYPERLINK("[N&amp;P Old retention.xlsx]'Lake P Results'!AM13", 700)</f>
        <v>700</v>
      </c>
      <c r="I467" s="28">
        <f>HYPERLINK("[N&amp;P New retention.xlsx]'Lake P Results'!AM13", 700)</f>
        <v>700</v>
      </c>
      <c r="J467" s="28">
        <f>HYPERLINK("[N&amp;P with New retention and Differentiation.xlsx]'Lake P Results'!AM13", 700)</f>
        <v>700</v>
      </c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29">
        <f>HYPERLINK("[N&amp;P Old retention.xlsx]'Lake P Results'!O13", 13.57)</f>
        <v>13.57</v>
      </c>
      <c r="BB467" s="29">
        <f>HYPERLINK("[N&amp;P New retention.xlsx]'Lake P Results'!O13", 13.57)</f>
        <v>13.57</v>
      </c>
      <c r="BC467" s="29">
        <f>HYPERLINK("[N&amp;P with New retention and Differentiation.xlsx]'Lake P Results'!O13", 13.57)</f>
        <v>13.57</v>
      </c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</row>
    <row r="468" spans="1:67" x14ac:dyDescent="0.55000000000000004">
      <c r="A468" s="30">
        <v>59</v>
      </c>
      <c r="B468" s="6" t="s">
        <v>331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</row>
    <row r="469" spans="1:67" x14ac:dyDescent="0.55000000000000004">
      <c r="A469" s="31">
        <v>63</v>
      </c>
      <c r="B469" s="5" t="s">
        <v>332</v>
      </c>
      <c r="C469" s="13"/>
      <c r="D469" s="13"/>
      <c r="E469" s="13"/>
      <c r="F469" s="13"/>
      <c r="G469" s="13"/>
      <c r="H469" s="28">
        <f>HYPERLINK("[N&amp;P Old retention.xlsx]'Lake P Results'!AM15", 2900)</f>
        <v>2900</v>
      </c>
      <c r="I469" s="28">
        <f>HYPERLINK("[N&amp;P New retention.xlsx]'Lake P Results'!AM15", 2600)</f>
        <v>2600</v>
      </c>
      <c r="J469" s="28">
        <f>HYPERLINK("[N&amp;P with New retention and Differentiation.xlsx]'Lake P Results'!AM15", 2800)</f>
        <v>2800</v>
      </c>
      <c r="K469" s="21">
        <f>I469-H469</f>
        <v>-300</v>
      </c>
      <c r="L469" s="21">
        <f>J469-H469</f>
        <v>-100</v>
      </c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28">
        <f>HYPERLINK("[N&amp;P New retention.xlsx]'Lake P Results'!AH15", 20)</f>
        <v>20</v>
      </c>
      <c r="AS469" s="13"/>
      <c r="AT469" s="16">
        <f>AR469-AQ469</f>
        <v>20</v>
      </c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29">
        <f>HYPERLINK("[N&amp;P Old retention.xlsx]'Lake P Results'!Q15", 0.880000000000001)</f>
        <v>0.880000000000001</v>
      </c>
      <c r="BL469" s="29">
        <f>HYPERLINK("[N&amp;P New retention.xlsx]'Lake P Results'!Q15", 0.880000000000001)</f>
        <v>0.880000000000001</v>
      </c>
      <c r="BM469" s="29">
        <f>HYPERLINK("[N&amp;P with New retention and Differentiation.xlsx]'Lake P Results'!Q15", 0.880000000000001)</f>
        <v>0.880000000000001</v>
      </c>
      <c r="BN469" s="13"/>
      <c r="BO469" s="13"/>
    </row>
    <row r="470" spans="1:67" x14ac:dyDescent="0.55000000000000004">
      <c r="A470" s="30">
        <v>65</v>
      </c>
      <c r="B470" s="6" t="s">
        <v>333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27">
        <f>HYPERLINK("[N&amp;P with New retention and Differentiation.xlsx]'Lake P Results'!M16", 270.122)</f>
        <v>270.12200000000001</v>
      </c>
      <c r="AY470" s="18"/>
      <c r="AZ470" s="46">
        <f>AX470-AV470</f>
        <v>270.12200000000001</v>
      </c>
      <c r="BA470" s="27">
        <f>HYPERLINK("[N&amp;P Old retention.xlsx]'Lake P Results'!O16", 111.742)</f>
        <v>111.742</v>
      </c>
      <c r="BB470" s="27">
        <f>HYPERLINK("[N&amp;P New retention.xlsx]'Lake P Results'!O16", 317.792)</f>
        <v>317.79199999999997</v>
      </c>
      <c r="BC470" s="27">
        <f>HYPERLINK("[N&amp;P with New retention and Differentiation.xlsx]'Lake P Results'!O16", 32.67)</f>
        <v>32.67</v>
      </c>
      <c r="BD470" s="46">
        <f>BB470-BA470</f>
        <v>206.04999999999995</v>
      </c>
      <c r="BE470" s="47">
        <f>BC470-BA470</f>
        <v>-79.072000000000003</v>
      </c>
      <c r="BF470" s="27">
        <f>HYPERLINK("[N&amp;P Old retention.xlsx]'Lake P Results'!R16", 92.126)</f>
        <v>92.126000000000005</v>
      </c>
      <c r="BG470" s="27">
        <f>HYPERLINK("[N&amp;P New retention.xlsx]'Lake P Results'!R16", 86.816)</f>
        <v>86.816000000000003</v>
      </c>
      <c r="BH470" s="27">
        <f>HYPERLINK("[N&amp;P with New retention and Differentiation.xlsx]'Lake P Results'!R16", 86.816)</f>
        <v>86.816000000000003</v>
      </c>
      <c r="BI470" s="47">
        <f>BG470-BF470</f>
        <v>-5.3100000000000023</v>
      </c>
      <c r="BJ470" s="47">
        <f>BH470-BF470</f>
        <v>-5.3100000000000023</v>
      </c>
      <c r="BK470" s="27">
        <f>HYPERLINK("[N&amp;P Old retention.xlsx]'Lake P Results'!Q16", 66.096)</f>
        <v>66.096000000000004</v>
      </c>
      <c r="BL470" s="27">
        <f>HYPERLINK("[N&amp;P New retention.xlsx]'Lake P Results'!Q16", 54.03)</f>
        <v>54.03</v>
      </c>
      <c r="BM470" s="27">
        <f>HYPERLINK("[N&amp;P with New retention and Differentiation.xlsx]'Lake P Results'!Q16", 54.03)</f>
        <v>54.03</v>
      </c>
      <c r="BN470" s="47">
        <f>BL470-BK470</f>
        <v>-12.066000000000003</v>
      </c>
      <c r="BO470" s="47">
        <f>BM470-BK470</f>
        <v>-12.066000000000003</v>
      </c>
    </row>
    <row r="471" spans="1:67" x14ac:dyDescent="0.55000000000000004">
      <c r="A471" s="31">
        <v>69</v>
      </c>
      <c r="B471" s="5" t="s">
        <v>334</v>
      </c>
      <c r="C471" s="13"/>
      <c r="D471" s="13"/>
      <c r="E471" s="13"/>
      <c r="F471" s="13"/>
      <c r="G471" s="13"/>
      <c r="H471" s="28">
        <f>HYPERLINK("[N&amp;P Old retention.xlsx]'Lake P Results'!AM17", 12700)</f>
        <v>12700</v>
      </c>
      <c r="I471" s="28">
        <f>HYPERLINK("[N&amp;P New retention.xlsx]'Lake P Results'!AM17", 12700)</f>
        <v>12700</v>
      </c>
      <c r="J471" s="28">
        <f>HYPERLINK("[N&amp;P with New retention and Differentiation.xlsx]'Lake P Results'!AM17", 12700)</f>
        <v>12700</v>
      </c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</row>
    <row r="472" spans="1:67" x14ac:dyDescent="0.55000000000000004">
      <c r="A472" s="30">
        <v>85</v>
      </c>
      <c r="B472" s="6" t="s">
        <v>335</v>
      </c>
      <c r="C472" s="27">
        <f>HYPERLINK("[N&amp;P Old retention.xlsx]'Lake P Results'!AE18", 4.69)</f>
        <v>4.6900000000000004</v>
      </c>
      <c r="D472" s="27">
        <f>HYPERLINK("[N&amp;P New retention.xlsx]'Lake P Results'!AE18", 4.69)</f>
        <v>4.6900000000000004</v>
      </c>
      <c r="E472" s="27">
        <f>HYPERLINK("[N&amp;P with New retention and Differentiation.xlsx]'Lake P Results'!AE18", 4.69)</f>
        <v>4.6900000000000004</v>
      </c>
      <c r="F472" s="18"/>
      <c r="G472" s="18"/>
      <c r="H472" s="26">
        <f>HYPERLINK("[N&amp;P Old retention.xlsx]'Lake P Results'!AM18", 26300)</f>
        <v>26300</v>
      </c>
      <c r="I472" s="26">
        <f>HYPERLINK("[N&amp;P New retention.xlsx]'Lake P Results'!AM18", 26300)</f>
        <v>26300</v>
      </c>
      <c r="J472" s="26">
        <f>HYPERLINK("[N&amp;P with New retention and Differentiation.xlsx]'Lake P Results'!AM18", 26300)</f>
        <v>26300</v>
      </c>
      <c r="K472" s="18"/>
      <c r="L472" s="18"/>
      <c r="M472" s="27">
        <f>HYPERLINK("[N&amp;P Old retention.xlsx]'Lake P Results'!AC18", 5.06)</f>
        <v>5.0599999999999996</v>
      </c>
      <c r="N472" s="27">
        <f>HYPERLINK("[N&amp;P New retention.xlsx]'Lake P Results'!AC18", 6.69)</f>
        <v>6.69</v>
      </c>
      <c r="O472" s="27">
        <f>HYPERLINK("[N&amp;P with New retention and Differentiation.xlsx]'Lake P Results'!AC18", 1.51)</f>
        <v>1.51</v>
      </c>
      <c r="P472" s="46">
        <f>N472-M472</f>
        <v>1.6300000000000008</v>
      </c>
      <c r="Q472" s="47">
        <f>O472-M472</f>
        <v>-3.55</v>
      </c>
      <c r="R472" s="27">
        <f>HYPERLINK("[N&amp;P Old retention.xlsx]'Lake P Results'!Y18", 1.63)</f>
        <v>1.63</v>
      </c>
      <c r="S472" s="18"/>
      <c r="T472" s="18"/>
      <c r="U472" s="47">
        <f>S472-R472</f>
        <v>-1.63</v>
      </c>
      <c r="V472" s="47">
        <f>T472-R472</f>
        <v>-1.63</v>
      </c>
      <c r="W472" s="27">
        <f>HYPERLINK("[N&amp;P Old retention.xlsx]'Lake P Results'!V18", 95.15)</f>
        <v>95.15</v>
      </c>
      <c r="X472" s="27">
        <f>HYPERLINK("[N&amp;P New retention.xlsx]'Lake P Results'!V18", 95.15)</f>
        <v>95.15</v>
      </c>
      <c r="Y472" s="27">
        <f>HYPERLINK("[N&amp;P with New retention and Differentiation.xlsx]'Lake P Results'!V18", 95.15)</f>
        <v>95.15</v>
      </c>
      <c r="Z472" s="18"/>
      <c r="AA472" s="18"/>
      <c r="AB472" s="27">
        <f>HYPERLINK("[N&amp;P Old retention.xlsx]'Lake P Results'!Z18", 4.39)</f>
        <v>4.3899999999999997</v>
      </c>
      <c r="AC472" s="27">
        <f>HYPERLINK("[N&amp;P New retention.xlsx]'Lake P Results'!Z18", 4.39)</f>
        <v>4.3899999999999997</v>
      </c>
      <c r="AD472" s="27">
        <f>HYPERLINK("[N&amp;P with New retention and Differentiation.xlsx]'Lake P Results'!Z18", 9.57)</f>
        <v>9.57</v>
      </c>
      <c r="AE472" s="18"/>
      <c r="AF472" s="46">
        <f>AD472-AB472</f>
        <v>5.1800000000000006</v>
      </c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26">
        <f>HYPERLINK("[N&amp;P Old retention.xlsx]'Lake P Results'!AH18", 1100)</f>
        <v>1100</v>
      </c>
      <c r="AR472" s="26">
        <f>HYPERLINK("[N&amp;P New retention.xlsx]'Lake P Results'!AH18", 1100)</f>
        <v>1100</v>
      </c>
      <c r="AS472" s="26">
        <f>HYPERLINK("[N&amp;P with New retention and Differentiation.xlsx]'Lake P Results'!AH18", 1100)</f>
        <v>1100</v>
      </c>
      <c r="AT472" s="18"/>
      <c r="AU472" s="18"/>
      <c r="AV472" s="27">
        <f>HYPERLINK("[N&amp;P Old retention.xlsx]'Lake P Results'!M18", 1445.2)</f>
        <v>1445.2</v>
      </c>
      <c r="AW472" s="27">
        <f>HYPERLINK("[N&amp;P New retention.xlsx]'Lake P Results'!M18", 1389.42)</f>
        <v>1389.42</v>
      </c>
      <c r="AX472" s="27">
        <f>HYPERLINK("[N&amp;P with New retention and Differentiation.xlsx]'Lake P Results'!M18", 1445.2)</f>
        <v>1445.2</v>
      </c>
      <c r="AY472" s="47">
        <f>AW472-AV472</f>
        <v>-55.779999999999973</v>
      </c>
      <c r="AZ472" s="18"/>
      <c r="BA472" s="27">
        <f>HYPERLINK("[N&amp;P Old retention.xlsx]'Lake P Results'!O18", 4.39452282768778)</f>
        <v>4.3945228276877799</v>
      </c>
      <c r="BB472" s="27">
        <f>HYPERLINK("[N&amp;P New retention.xlsx]'Lake P Results'!O18", 60.1745228276878)</f>
        <v>60.174522827687802</v>
      </c>
      <c r="BC472" s="27">
        <f>HYPERLINK("[N&amp;P with New retention and Differentiation.xlsx]'Lake P Results'!O18", 4.39452282768778)</f>
        <v>4.3945228276877799</v>
      </c>
      <c r="BD472" s="46">
        <f>BB472-BA472</f>
        <v>55.780000000000022</v>
      </c>
      <c r="BE472" s="18"/>
      <c r="BF472" s="27">
        <f>HYPERLINK("[N&amp;P Old retention.xlsx]'Lake P Results'!R18", 0.064)</f>
        <v>6.4000000000000001E-2</v>
      </c>
      <c r="BG472" s="27">
        <f>HYPERLINK("[N&amp;P New retention.xlsx]'Lake P Results'!R18", 0.064)</f>
        <v>6.4000000000000001E-2</v>
      </c>
      <c r="BH472" s="27">
        <f>HYPERLINK("[N&amp;P with New retention and Differentiation.xlsx]'Lake P Results'!R18", 0.064)</f>
        <v>6.4000000000000001E-2</v>
      </c>
      <c r="BI472" s="18"/>
      <c r="BJ472" s="18"/>
      <c r="BK472" s="18"/>
      <c r="BL472" s="18"/>
      <c r="BM472" s="18"/>
      <c r="BN472" s="18"/>
      <c r="BO472" s="18"/>
    </row>
    <row r="473" spans="1:67" x14ac:dyDescent="0.55000000000000004">
      <c r="A473" s="31">
        <v>89</v>
      </c>
      <c r="B473" s="5" t="s">
        <v>336</v>
      </c>
      <c r="C473" s="29">
        <f>HYPERLINK("[N&amp;P Old retention.xlsx]'Lake P Results'!AE19", 67.566)</f>
        <v>67.566000000000003</v>
      </c>
      <c r="D473" s="29">
        <f>HYPERLINK("[N&amp;P New retention.xlsx]'Lake P Results'!AE19", 67.566)</f>
        <v>67.566000000000003</v>
      </c>
      <c r="E473" s="29">
        <f>HYPERLINK("[N&amp;P with New retention and Differentiation.xlsx]'Lake P Results'!AE19", 67.566)</f>
        <v>67.566000000000003</v>
      </c>
      <c r="F473" s="13"/>
      <c r="G473" s="13"/>
      <c r="H473" s="28">
        <f>HYPERLINK("[N&amp;P Old retention.xlsx]'Lake P Results'!AM19", 121900)</f>
        <v>121900</v>
      </c>
      <c r="I473" s="28">
        <f>HYPERLINK("[N&amp;P New retention.xlsx]'Lake P Results'!AM19", 121900)</f>
        <v>121900</v>
      </c>
      <c r="J473" s="28">
        <f>HYPERLINK("[N&amp;P with New retention and Differentiation.xlsx]'Lake P Results'!AM19", 121900)</f>
        <v>121900</v>
      </c>
      <c r="K473" s="13"/>
      <c r="L473" s="13"/>
      <c r="M473" s="29">
        <f>HYPERLINK("[N&amp;P Old retention.xlsx]'Lake P Results'!AC19", 132.058)</f>
        <v>132.05799999999999</v>
      </c>
      <c r="N473" s="29">
        <f>HYPERLINK("[N&amp;P New retention.xlsx]'Lake P Results'!AC19", 108.308)</f>
        <v>108.30800000000001</v>
      </c>
      <c r="O473" s="29">
        <f>HYPERLINK("[N&amp;P with New retention and Differentiation.xlsx]'Lake P Results'!AC19", 106.718)</f>
        <v>106.718</v>
      </c>
      <c r="P473" s="47">
        <f>N473-M473</f>
        <v>-23.749999999999986</v>
      </c>
      <c r="Q473" s="47">
        <f>O473-M473</f>
        <v>-25.339999999999989</v>
      </c>
      <c r="R473" s="29">
        <f>HYPERLINK("[N&amp;P Old retention.xlsx]'Lake P Results'!Y19", 481.36)</f>
        <v>481.36</v>
      </c>
      <c r="S473" s="29">
        <f>HYPERLINK("[N&amp;P New retention.xlsx]'Lake P Results'!Y19", 436.14)</f>
        <v>436.14</v>
      </c>
      <c r="T473" s="29">
        <f>HYPERLINK("[N&amp;P with New retention and Differentiation.xlsx]'Lake P Results'!Y19", 431.348)</f>
        <v>431.34800000000001</v>
      </c>
      <c r="U473" s="47">
        <f>S473-R473</f>
        <v>-45.220000000000027</v>
      </c>
      <c r="V473" s="47">
        <f>T473-R473</f>
        <v>-50.012</v>
      </c>
      <c r="W473" s="29">
        <f>HYPERLINK("[N&amp;P Old retention.xlsx]'Lake P Results'!V19", 729.526)</f>
        <v>729.52599999999995</v>
      </c>
      <c r="X473" s="29">
        <f>HYPERLINK("[N&amp;P New retention.xlsx]'Lake P Results'!V19", 729.526)</f>
        <v>729.52599999999995</v>
      </c>
      <c r="Y473" s="29">
        <f>HYPERLINK("[N&amp;P with New retention and Differentiation.xlsx]'Lake P Results'!V19", 729.526)</f>
        <v>729.52599999999995</v>
      </c>
      <c r="Z473" s="13"/>
      <c r="AA473" s="13"/>
      <c r="AB473" s="29">
        <f>HYPERLINK("[N&amp;P Old retention.xlsx]'Lake P Results'!Z19", 161.52)</f>
        <v>161.52000000000001</v>
      </c>
      <c r="AC473" s="29">
        <f>HYPERLINK("[N&amp;P New retention.xlsx]'Lake P Results'!Z19", 230.49)</f>
        <v>230.49</v>
      </c>
      <c r="AD473" s="29">
        <f>HYPERLINK("[N&amp;P with New retention and Differentiation.xlsx]'Lake P Results'!Z19", 236.872)</f>
        <v>236.87200000000001</v>
      </c>
      <c r="AE473" s="46">
        <f>AC473-AB473</f>
        <v>68.97</v>
      </c>
      <c r="AF473" s="46">
        <f>AD473-AB473</f>
        <v>75.352000000000004</v>
      </c>
      <c r="AG473" s="29">
        <f>HYPERLINK("[N&amp;P Old retention.xlsx]'Lake P Results'!AA19", 107.36)</f>
        <v>107.36</v>
      </c>
      <c r="AH473" s="29">
        <f>HYPERLINK("[N&amp;P New retention.xlsx]'Lake P Results'!AA19", 107.36)</f>
        <v>107.36</v>
      </c>
      <c r="AI473" s="29">
        <f>HYPERLINK("[N&amp;P with New retention and Differentiation.xlsx]'Lake P Results'!AA19", 107.36)</f>
        <v>107.36</v>
      </c>
      <c r="AJ473" s="13"/>
      <c r="AK473" s="13"/>
      <c r="AL473" s="13"/>
      <c r="AM473" s="13"/>
      <c r="AN473" s="13"/>
      <c r="AO473" s="13"/>
      <c r="AP473" s="13"/>
      <c r="AQ473" s="28">
        <f>HYPERLINK("[N&amp;P Old retention.xlsx]'Lake P Results'!AH19", 690)</f>
        <v>690</v>
      </c>
      <c r="AR473" s="28">
        <f>HYPERLINK("[N&amp;P New retention.xlsx]'Lake P Results'!AH19", 690)</f>
        <v>690</v>
      </c>
      <c r="AS473" s="28">
        <f>HYPERLINK("[N&amp;P with New retention and Differentiation.xlsx]'Lake P Results'!AH19", 690)</f>
        <v>690</v>
      </c>
      <c r="AT473" s="13"/>
      <c r="AU473" s="13"/>
      <c r="AV473" s="13"/>
      <c r="AW473" s="13"/>
      <c r="AX473" s="13"/>
      <c r="AY473" s="13"/>
      <c r="AZ473" s="13"/>
      <c r="BA473" s="29">
        <f>HYPERLINK("[N&amp;P Old retention.xlsx]'Lake P Results'!O19", 1125.404)</f>
        <v>1125.404</v>
      </c>
      <c r="BB473" s="29">
        <f>HYPERLINK("[N&amp;P New retention.xlsx]'Lake P Results'!O19", 1125.404)</f>
        <v>1125.404</v>
      </c>
      <c r="BC473" s="29">
        <f>HYPERLINK("[N&amp;P with New retention and Differentiation.xlsx]'Lake P Results'!O19", 1125.404)</f>
        <v>1125.404</v>
      </c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</row>
    <row r="474" spans="1:67" x14ac:dyDescent="0.55000000000000004">
      <c r="A474" s="30">
        <v>91</v>
      </c>
      <c r="B474" s="6" t="s">
        <v>337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27">
        <f>HYPERLINK("[N&amp;P Old retention.xlsx]'Lake P Results'!M20", 5.19)</f>
        <v>5.19</v>
      </c>
      <c r="AW474" s="27">
        <f>HYPERLINK("[N&amp;P New retention.xlsx]'Lake P Results'!M20", 8.24)</f>
        <v>8.24</v>
      </c>
      <c r="AX474" s="27">
        <f>HYPERLINK("[N&amp;P with New retention and Differentiation.xlsx]'Lake P Results'!M20", 9.99)</f>
        <v>9.99</v>
      </c>
      <c r="AY474" s="46">
        <f>AW474-AV474</f>
        <v>3.05</v>
      </c>
      <c r="AZ474" s="46">
        <f>AX474-AV474</f>
        <v>4.8</v>
      </c>
      <c r="BA474" s="27">
        <f>HYPERLINK("[N&amp;P Old retention.xlsx]'Lake P Results'!O20", 24.78)</f>
        <v>24.78</v>
      </c>
      <c r="BB474" s="27">
        <f>HYPERLINK("[N&amp;P New retention.xlsx]'Lake P Results'!O20", 24.78)</f>
        <v>24.78</v>
      </c>
      <c r="BC474" s="27">
        <f>HYPERLINK("[N&amp;P with New retention and Differentiation.xlsx]'Lake P Results'!O20", 23.03)</f>
        <v>23.03</v>
      </c>
      <c r="BD474" s="18"/>
      <c r="BE474" s="47">
        <f>BC474-BA474</f>
        <v>-1.75</v>
      </c>
      <c r="BF474" s="27">
        <f>HYPERLINK("[N&amp;P Old retention.xlsx]'Lake P Results'!R20", 2.09)</f>
        <v>2.09</v>
      </c>
      <c r="BG474" s="27">
        <f>HYPERLINK("[N&amp;P New retention.xlsx]'Lake P Results'!R20", 2.09)</f>
        <v>2.09</v>
      </c>
      <c r="BH474" s="27">
        <f>HYPERLINK("[N&amp;P with New retention and Differentiation.xlsx]'Lake P Results'!R20", 2.09)</f>
        <v>2.09</v>
      </c>
      <c r="BI474" s="18"/>
      <c r="BJ474" s="18"/>
      <c r="BK474" s="27">
        <f>HYPERLINK("[N&amp;P Old retention.xlsx]'Lake P Results'!Q20", 1.61)</f>
        <v>1.61</v>
      </c>
      <c r="BL474" s="27">
        <f>HYPERLINK("[N&amp;P New retention.xlsx]'Lake P Results'!Q20", 0.900000000000003)</f>
        <v>0.90000000000000302</v>
      </c>
      <c r="BM474" s="27">
        <f>HYPERLINK("[N&amp;P with New retention and Differentiation.xlsx]'Lake P Results'!Q20", 0.900000000000003)</f>
        <v>0.90000000000000302</v>
      </c>
      <c r="BN474" s="47">
        <f>BL474-BK474</f>
        <v>-0.70999999999999708</v>
      </c>
      <c r="BO474" s="47">
        <f>BM474-BK474</f>
        <v>-0.70999999999999708</v>
      </c>
    </row>
    <row r="475" spans="1:67" x14ac:dyDescent="0.55000000000000004">
      <c r="A475" s="31">
        <v>96</v>
      </c>
      <c r="B475" s="5" t="s">
        <v>338</v>
      </c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</row>
    <row r="476" spans="1:67" x14ac:dyDescent="0.55000000000000004">
      <c r="A476" s="30">
        <v>101</v>
      </c>
      <c r="B476" s="6" t="s">
        <v>339</v>
      </c>
      <c r="C476" s="18"/>
      <c r="D476" s="18"/>
      <c r="E476" s="18"/>
      <c r="F476" s="18"/>
      <c r="G476" s="18"/>
      <c r="H476" s="26">
        <f>HYPERLINK("[N&amp;P Old retention.xlsx]'Lake P Results'!AM22", 20600)</f>
        <v>20600</v>
      </c>
      <c r="I476" s="26">
        <f>HYPERLINK("[N&amp;P New retention.xlsx]'Lake P Results'!AM22", 20600)</f>
        <v>20600</v>
      </c>
      <c r="J476" s="26">
        <f>HYPERLINK("[N&amp;P with New retention and Differentiation.xlsx]'Lake P Results'!AM22", 20600)</f>
        <v>20600</v>
      </c>
      <c r="K476" s="18"/>
      <c r="L476" s="18"/>
      <c r="M476" s="27">
        <f>HYPERLINK("[N&amp;P Old retention.xlsx]'Lake P Results'!AC22", 10.4)</f>
        <v>10.4</v>
      </c>
      <c r="N476" s="27">
        <f>HYPERLINK("[N&amp;P New retention.xlsx]'Lake P Results'!AC22", 20.46)</f>
        <v>20.46</v>
      </c>
      <c r="O476" s="27">
        <f>HYPERLINK("[N&amp;P with New retention and Differentiation.xlsx]'Lake P Results'!AC22", 8.22)</f>
        <v>8.2200000000000006</v>
      </c>
      <c r="P476" s="46">
        <f>N476-M476</f>
        <v>10.06</v>
      </c>
      <c r="Q476" s="47">
        <f>O476-M476</f>
        <v>-2.1799999999999997</v>
      </c>
      <c r="R476" s="27">
        <f>HYPERLINK("[N&amp;P Old retention.xlsx]'Lake P Results'!Y22", 8.98)</f>
        <v>8.98</v>
      </c>
      <c r="S476" s="27">
        <f>HYPERLINK("[N&amp;P New retention.xlsx]'Lake P Results'!Y22", 23.45)</f>
        <v>23.45</v>
      </c>
      <c r="T476" s="27">
        <f>HYPERLINK("[N&amp;P with New retention and Differentiation.xlsx]'Lake P Results'!Y22", 10.27)</f>
        <v>10.27</v>
      </c>
      <c r="U476" s="46">
        <f>S476-R476</f>
        <v>14.469999999999999</v>
      </c>
      <c r="V476" s="46">
        <f>T476-R476</f>
        <v>1.2899999999999991</v>
      </c>
      <c r="W476" s="27">
        <f>HYPERLINK("[N&amp;P Old retention.xlsx]'Lake P Results'!V22", 11.94)</f>
        <v>11.94</v>
      </c>
      <c r="X476" s="27">
        <f>HYPERLINK("[N&amp;P New retention.xlsx]'Lake P Results'!V22", 11.94)</f>
        <v>11.94</v>
      </c>
      <c r="Y476" s="27">
        <f>HYPERLINK("[N&amp;P with New retention and Differentiation.xlsx]'Lake P Results'!V22", 11.94)</f>
        <v>11.94</v>
      </c>
      <c r="Z476" s="18"/>
      <c r="AA476" s="18"/>
      <c r="AB476" s="27">
        <f>HYPERLINK("[N&amp;P Old retention.xlsx]'Lake P Results'!Z22", 37.35)</f>
        <v>37.35</v>
      </c>
      <c r="AC476" s="27">
        <f>HYPERLINK("[N&amp;P New retention.xlsx]'Lake P Results'!Z22", 12.82)</f>
        <v>12.82</v>
      </c>
      <c r="AD476" s="27">
        <f>HYPERLINK("[N&amp;P with New retention and Differentiation.xlsx]'Lake P Results'!Z22", 38.24)</f>
        <v>38.24</v>
      </c>
      <c r="AE476" s="47">
        <f>AC476-AB476</f>
        <v>-24.53</v>
      </c>
      <c r="AF476" s="46">
        <f>AD476-AB476</f>
        <v>0.89000000000000057</v>
      </c>
      <c r="AG476" s="27">
        <f>HYPERLINK("[N&amp;P Old retention.xlsx]'Lake P Results'!AA22", 1.89)</f>
        <v>1.89</v>
      </c>
      <c r="AH476" s="27">
        <f>HYPERLINK("[N&amp;P New retention.xlsx]'Lake P Results'!AA22", 1.89)</f>
        <v>1.89</v>
      </c>
      <c r="AI476" s="27">
        <f>HYPERLINK("[N&amp;P with New retention and Differentiation.xlsx]'Lake P Results'!AA22", 1.89)</f>
        <v>1.89</v>
      </c>
      <c r="AJ476" s="18"/>
      <c r="AK476" s="18"/>
      <c r="AL476" s="18"/>
      <c r="AM476" s="18"/>
      <c r="AN476" s="18"/>
      <c r="AO476" s="18"/>
      <c r="AP476" s="18"/>
      <c r="AQ476" s="26">
        <f>HYPERLINK("[N&amp;P Old retention.xlsx]'Lake P Results'!AH22", 840)</f>
        <v>840</v>
      </c>
      <c r="AR476" s="26">
        <f>HYPERLINK("[N&amp;P New retention.xlsx]'Lake P Results'!AH22", 840)</f>
        <v>840</v>
      </c>
      <c r="AS476" s="26">
        <f>HYPERLINK("[N&amp;P with New retention and Differentiation.xlsx]'Lake P Results'!AH22", 840)</f>
        <v>840</v>
      </c>
      <c r="AT476" s="18"/>
      <c r="AU476" s="18"/>
      <c r="AV476" s="27">
        <f>HYPERLINK("[N&amp;P Old retention.xlsx]'Lake P Results'!M22", 914.8)</f>
        <v>914.8</v>
      </c>
      <c r="AW476" s="27">
        <f>HYPERLINK("[N&amp;P New retention.xlsx]'Lake P Results'!M22", 921.02)</f>
        <v>921.02</v>
      </c>
      <c r="AX476" s="27">
        <f>HYPERLINK("[N&amp;P with New retention and Differentiation.xlsx]'Lake P Results'!M22", 922.51)</f>
        <v>922.51</v>
      </c>
      <c r="AY476" s="46">
        <f>AW476-AV476</f>
        <v>6.2200000000000273</v>
      </c>
      <c r="AZ476" s="46">
        <f>AX476-AV476</f>
        <v>7.7100000000000364</v>
      </c>
      <c r="BA476" s="27">
        <f>HYPERLINK("[N&amp;P Old retention.xlsx]'Lake P Results'!O22", 36.428)</f>
        <v>36.427999999999997</v>
      </c>
      <c r="BB476" s="27">
        <f>HYPERLINK("[N&amp;P New retention.xlsx]'Lake P Results'!O22", 36.428)</f>
        <v>36.427999999999997</v>
      </c>
      <c r="BC476" s="27">
        <f>HYPERLINK("[N&amp;P with New retention and Differentiation.xlsx]'Lake P Results'!O22", 34.938)</f>
        <v>34.938000000000002</v>
      </c>
      <c r="BD476" s="18"/>
      <c r="BE476" s="47">
        <f>BC476-BA476</f>
        <v>-1.4899999999999949</v>
      </c>
      <c r="BF476" s="27">
        <f>HYPERLINK("[N&amp;P Old retention.xlsx]'Lake P Results'!R22", 0.278)</f>
        <v>0.27800000000000002</v>
      </c>
      <c r="BG476" s="27">
        <f>HYPERLINK("[N&amp;P New retention.xlsx]'Lake P Results'!R22", 0.278)</f>
        <v>0.27800000000000002</v>
      </c>
      <c r="BH476" s="27">
        <f>HYPERLINK("[N&amp;P with New retention and Differentiation.xlsx]'Lake P Results'!R22", 0.278)</f>
        <v>0.27800000000000002</v>
      </c>
      <c r="BI476" s="18"/>
      <c r="BJ476" s="18"/>
      <c r="BK476" s="27">
        <f>HYPERLINK("[N&amp;P Old retention.xlsx]'Lake P Results'!Q22", 0.41)</f>
        <v>0.41</v>
      </c>
      <c r="BL476" s="27">
        <f>HYPERLINK("[N&amp;P New retention.xlsx]'Lake P Results'!Q22", 0.41)</f>
        <v>0.41</v>
      </c>
      <c r="BM476" s="27">
        <f>HYPERLINK("[N&amp;P with New retention and Differentiation.xlsx]'Lake P Results'!Q22", 0.41)</f>
        <v>0.41</v>
      </c>
      <c r="BN476" s="18"/>
      <c r="BO476" s="18"/>
    </row>
    <row r="477" spans="1:67" x14ac:dyDescent="0.55000000000000004">
      <c r="A477" s="31">
        <v>102</v>
      </c>
      <c r="B477" s="5" t="s">
        <v>340</v>
      </c>
      <c r="C477" s="29">
        <f>HYPERLINK("[N&amp;P Old retention.xlsx]'Lake P Results'!AE23", 1.09)</f>
        <v>1.0900000000000001</v>
      </c>
      <c r="D477" s="29">
        <f>HYPERLINK("[N&amp;P New retention.xlsx]'Lake P Results'!AE23", 1.09)</f>
        <v>1.0900000000000001</v>
      </c>
      <c r="E477" s="29">
        <f>HYPERLINK("[N&amp;P with New retention and Differentiation.xlsx]'Lake P Results'!AE23", 1.09)</f>
        <v>1.0900000000000001</v>
      </c>
      <c r="F477" s="13"/>
      <c r="G477" s="13"/>
      <c r="H477" s="28">
        <f>HYPERLINK("[N&amp;P Old retention.xlsx]'Lake P Results'!AM23", 12300)</f>
        <v>12300</v>
      </c>
      <c r="I477" s="28">
        <f>HYPERLINK("[N&amp;P New retention.xlsx]'Lake P Results'!AM23", 12300)</f>
        <v>12300</v>
      </c>
      <c r="J477" s="28">
        <f>HYPERLINK("[N&amp;P with New retention and Differentiation.xlsx]'Lake P Results'!AM23", 12300)</f>
        <v>12300</v>
      </c>
      <c r="K477" s="13"/>
      <c r="L477" s="13"/>
      <c r="M477" s="29">
        <f>HYPERLINK("[N&amp;P Old retention.xlsx]'Lake P Results'!AC23", 1.48)</f>
        <v>1.48</v>
      </c>
      <c r="N477" s="29">
        <f>HYPERLINK("[N&amp;P New retention.xlsx]'Lake P Results'!AC23", 8.55)</f>
        <v>8.5500000000000007</v>
      </c>
      <c r="O477" s="29">
        <f>HYPERLINK("[N&amp;P with New retention and Differentiation.xlsx]'Lake P Results'!AC23", 6.31)</f>
        <v>6.31</v>
      </c>
      <c r="P477" s="46">
        <f>N477-M477</f>
        <v>7.07</v>
      </c>
      <c r="Q477" s="46">
        <f>O477-M477</f>
        <v>4.83</v>
      </c>
      <c r="R477" s="29">
        <f>HYPERLINK("[N&amp;P Old retention.xlsx]'Lake P Results'!Y23", 2.1)</f>
        <v>2.1</v>
      </c>
      <c r="S477" s="29">
        <f>HYPERLINK("[N&amp;P New retention.xlsx]'Lake P Results'!Y23", 4.83)</f>
        <v>4.83</v>
      </c>
      <c r="T477" s="13"/>
      <c r="U477" s="46">
        <f>S477-R477</f>
        <v>2.73</v>
      </c>
      <c r="V477" s="47">
        <f>T477-R477</f>
        <v>-2.1</v>
      </c>
      <c r="W477" s="29">
        <f>HYPERLINK("[N&amp;P Old retention.xlsx]'Lake P Results'!V23", 5.21)</f>
        <v>5.21</v>
      </c>
      <c r="X477" s="29">
        <f>HYPERLINK("[N&amp;P New retention.xlsx]'Lake P Results'!V23", 5.21)</f>
        <v>5.21</v>
      </c>
      <c r="Y477" s="29">
        <f>HYPERLINK("[N&amp;P with New retention and Differentiation.xlsx]'Lake P Results'!V23", 5.21)</f>
        <v>5.21</v>
      </c>
      <c r="Z477" s="13"/>
      <c r="AA477" s="13"/>
      <c r="AB477" s="29">
        <f>HYPERLINK("[N&amp;P Old retention.xlsx]'Lake P Results'!Z23", 9.8)</f>
        <v>9.8000000000000007</v>
      </c>
      <c r="AC477" s="13"/>
      <c r="AD477" s="29">
        <f>HYPERLINK("[N&amp;P with New retention and Differentiation.xlsx]'Lake P Results'!Z23", 7.07)</f>
        <v>7.07</v>
      </c>
      <c r="AE477" s="47">
        <f>AC477-AB477</f>
        <v>-9.8000000000000007</v>
      </c>
      <c r="AF477" s="47">
        <f>AD477-AB477</f>
        <v>-2.7300000000000004</v>
      </c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28">
        <f>HYPERLINK("[N&amp;P Old retention.xlsx]'Lake P Results'!AH23", 630)</f>
        <v>630</v>
      </c>
      <c r="AR477" s="28">
        <f>HYPERLINK("[N&amp;P New retention.xlsx]'Lake P Results'!AH23", 630)</f>
        <v>630</v>
      </c>
      <c r="AS477" s="28">
        <f>HYPERLINK("[N&amp;P with New retention and Differentiation.xlsx]'Lake P Results'!AH23", 630)</f>
        <v>630</v>
      </c>
      <c r="AT477" s="13"/>
      <c r="AU477" s="13"/>
      <c r="AV477" s="29">
        <f>HYPERLINK("[N&amp;P Old retention.xlsx]'Lake P Results'!M23", 664.624)</f>
        <v>664.62400000000002</v>
      </c>
      <c r="AW477" s="29">
        <f>HYPERLINK("[N&amp;P New retention.xlsx]'Lake P Results'!M23", 662.568)</f>
        <v>662.56799999999998</v>
      </c>
      <c r="AX477" s="29">
        <f>HYPERLINK("[N&amp;P with New retention and Differentiation.xlsx]'Lake P Results'!M23", 662.568)</f>
        <v>662.56799999999998</v>
      </c>
      <c r="AY477" s="47">
        <f>AW477-AV477</f>
        <v>-2.05600000000004</v>
      </c>
      <c r="AZ477" s="47">
        <f>AX477-AV477</f>
        <v>-2.05600000000004</v>
      </c>
      <c r="BA477" s="29">
        <f>HYPERLINK("[N&amp;P Old retention.xlsx]'Lake P Results'!O23", 9.096)</f>
        <v>9.0960000000000001</v>
      </c>
      <c r="BB477" s="29">
        <f>HYPERLINK("[N&amp;P New retention.xlsx]'Lake P Results'!O23", 9.096)</f>
        <v>9.0960000000000001</v>
      </c>
      <c r="BC477" s="29">
        <f>HYPERLINK("[N&amp;P with New retention and Differentiation.xlsx]'Lake P Results'!O23", 9.096)</f>
        <v>9.0960000000000001</v>
      </c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</row>
    <row r="478" spans="1:67" x14ac:dyDescent="0.55000000000000004">
      <c r="A478" s="30">
        <v>105</v>
      </c>
      <c r="B478" s="6" t="s">
        <v>341</v>
      </c>
      <c r="C478" s="18"/>
      <c r="D478" s="18"/>
      <c r="E478" s="18"/>
      <c r="F478" s="18"/>
      <c r="G478" s="18"/>
      <c r="H478" s="26">
        <f>HYPERLINK("[N&amp;P Old retention.xlsx]'Lake P Results'!AM24", 800)</f>
        <v>800</v>
      </c>
      <c r="I478" s="26">
        <f>HYPERLINK("[N&amp;P New retention.xlsx]'Lake P Results'!AM24", 800)</f>
        <v>800</v>
      </c>
      <c r="J478" s="26">
        <f>HYPERLINK("[N&amp;P with New retention and Differentiation.xlsx]'Lake P Results'!AM24", 800)</f>
        <v>800</v>
      </c>
      <c r="K478" s="18"/>
      <c r="L478" s="18"/>
      <c r="M478" s="27">
        <f>HYPERLINK("[N&amp;P Old retention.xlsx]'Lake P Results'!AC24", 2.26)</f>
        <v>2.2599999999999998</v>
      </c>
      <c r="N478" s="27">
        <f>HYPERLINK("[N&amp;P New retention.xlsx]'Lake P Results'!AC24", 2.28)</f>
        <v>2.2799999999999998</v>
      </c>
      <c r="O478" s="27">
        <f>HYPERLINK("[N&amp;P with New retention and Differentiation.xlsx]'Lake P Results'!AC24", 0.64)</f>
        <v>0.64</v>
      </c>
      <c r="P478" s="46">
        <f>N478-M478</f>
        <v>2.0000000000000018E-2</v>
      </c>
      <c r="Q478" s="47">
        <f>O478-M478</f>
        <v>-1.6199999999999997</v>
      </c>
      <c r="R478" s="27">
        <f>HYPERLINK("[N&amp;P Old retention.xlsx]'Lake P Results'!Y24", 10.39)</f>
        <v>10.39</v>
      </c>
      <c r="S478" s="27">
        <f>HYPERLINK("[N&amp;P New retention.xlsx]'Lake P Results'!Y24", 0.64)</f>
        <v>0.64</v>
      </c>
      <c r="T478" s="27">
        <f>HYPERLINK("[N&amp;P with New retention and Differentiation.xlsx]'Lake P Results'!Y24", 2.6)</f>
        <v>2.6</v>
      </c>
      <c r="U478" s="47">
        <f>S478-R478</f>
        <v>-9.75</v>
      </c>
      <c r="V478" s="47">
        <f>T478-R478</f>
        <v>-7.7900000000000009</v>
      </c>
      <c r="W478" s="27">
        <f>HYPERLINK("[N&amp;P Old retention.xlsx]'Lake P Results'!V24", 27.85)</f>
        <v>27.85</v>
      </c>
      <c r="X478" s="27">
        <f>HYPERLINK("[N&amp;P New retention.xlsx]'Lake P Results'!V24", 27.85)</f>
        <v>27.85</v>
      </c>
      <c r="Y478" s="27">
        <f>HYPERLINK("[N&amp;P with New retention and Differentiation.xlsx]'Lake P Results'!V24", 27.85)</f>
        <v>27.85</v>
      </c>
      <c r="Z478" s="18"/>
      <c r="AA478" s="18"/>
      <c r="AB478" s="27">
        <f>HYPERLINK("[N&amp;P Old retention.xlsx]'Lake P Results'!Z24", 1.1)</f>
        <v>1.1000000000000001</v>
      </c>
      <c r="AC478" s="27">
        <f>HYPERLINK("[N&amp;P New retention.xlsx]'Lake P Results'!Z24", 10.83)</f>
        <v>10.83</v>
      </c>
      <c r="AD478" s="27">
        <f>HYPERLINK("[N&amp;P with New retention and Differentiation.xlsx]'Lake P Results'!Z24", 10.51)</f>
        <v>10.51</v>
      </c>
      <c r="AE478" s="46">
        <f>AC478-AB478</f>
        <v>9.73</v>
      </c>
      <c r="AF478" s="46">
        <f>AD478-AB478</f>
        <v>9.41</v>
      </c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26">
        <f>HYPERLINK("[N&amp;P Old retention.xlsx]'Lake P Results'!AH24", 210)</f>
        <v>210</v>
      </c>
      <c r="AR478" s="26">
        <f>HYPERLINK("[N&amp;P New retention.xlsx]'Lake P Results'!AH24", 210)</f>
        <v>210</v>
      </c>
      <c r="AS478" s="26">
        <f>HYPERLINK("[N&amp;P with New retention and Differentiation.xlsx]'Lake P Results'!AH24", 210)</f>
        <v>210</v>
      </c>
      <c r="AT478" s="18"/>
      <c r="AU478" s="18"/>
      <c r="AV478" s="18"/>
      <c r="AW478" s="18"/>
      <c r="AX478" s="27">
        <f>HYPERLINK("[N&amp;P with New retention and Differentiation.xlsx]'Lake P Results'!M24", 228.69)</f>
        <v>228.69</v>
      </c>
      <c r="AY478" s="18"/>
      <c r="AZ478" s="46">
        <f>AX478-AV478</f>
        <v>228.69</v>
      </c>
      <c r="BA478" s="27">
        <f>HYPERLINK("[N&amp;P Old retention.xlsx]'Lake P Results'!O24", 230.66)</f>
        <v>230.66</v>
      </c>
      <c r="BB478" s="27">
        <f>HYPERLINK("[N&amp;P New retention.xlsx]'Lake P Results'!O24", 230.66)</f>
        <v>230.66</v>
      </c>
      <c r="BC478" s="27">
        <f>HYPERLINK("[N&amp;P with New retention and Differentiation.xlsx]'Lake P Results'!O24", 1.97)</f>
        <v>1.97</v>
      </c>
      <c r="BD478" s="18"/>
      <c r="BE478" s="47">
        <f>BC478-BA478</f>
        <v>-228.69</v>
      </c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</row>
    <row r="479" spans="1:67" x14ac:dyDescent="0.55000000000000004">
      <c r="A479" s="31">
        <v>106</v>
      </c>
      <c r="B479" s="5" t="s">
        <v>342</v>
      </c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29">
        <f>HYPERLINK("[N&amp;P Old retention.xlsx]'Lake P Results'!M25", 6.294)</f>
        <v>6.2939999999999996</v>
      </c>
      <c r="AW479" s="29">
        <f>HYPERLINK("[N&amp;P New retention.xlsx]'Lake P Results'!M25", 1.728)</f>
        <v>1.728</v>
      </c>
      <c r="AX479" s="29">
        <f>HYPERLINK("[N&amp;P with New retention and Differentiation.xlsx]'Lake P Results'!M25", 1.728)</f>
        <v>1.728</v>
      </c>
      <c r="AY479" s="47">
        <f>AW479-AV479</f>
        <v>-4.5659999999999998</v>
      </c>
      <c r="AZ479" s="47">
        <f>AX479-AV479</f>
        <v>-4.5659999999999998</v>
      </c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29">
        <f>HYPERLINK("[N&amp;P Old retention.xlsx]'Lake P Results'!Q25", 2.024)</f>
        <v>2.024</v>
      </c>
      <c r="BL479" s="29">
        <f>HYPERLINK("[N&amp;P New retention.xlsx]'Lake P Results'!Q25", 2.024)</f>
        <v>2.024</v>
      </c>
      <c r="BM479" s="29">
        <f>HYPERLINK("[N&amp;P with New retention and Differentiation.xlsx]'Lake P Results'!Q25", 2.024)</f>
        <v>2.024</v>
      </c>
      <c r="BN479" s="13"/>
      <c r="BO479" s="13"/>
    </row>
    <row r="480" spans="1:67" x14ac:dyDescent="0.55000000000000004">
      <c r="A480" s="30">
        <v>107</v>
      </c>
      <c r="B480" s="6" t="s">
        <v>343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27">
        <f>HYPERLINK("[N&amp;P Old retention.xlsx]'Lake P Results'!M26", 7.33)</f>
        <v>7.33</v>
      </c>
      <c r="AW480" s="27">
        <f>HYPERLINK("[N&amp;P New retention.xlsx]'Lake P Results'!M26", 7.33)</f>
        <v>7.33</v>
      </c>
      <c r="AX480" s="18"/>
      <c r="AY480" s="18"/>
      <c r="AZ480" s="47">
        <f>AX480-AV480</f>
        <v>-7.33</v>
      </c>
      <c r="BA480" s="27">
        <f>HYPERLINK("[N&amp;P Old retention.xlsx]'Lake P Results'!O26", 67.82)</f>
        <v>67.819999999999993</v>
      </c>
      <c r="BB480" s="27">
        <f>HYPERLINK("[N&amp;P New retention.xlsx]'Lake P Results'!O26", 67.82)</f>
        <v>67.819999999999993</v>
      </c>
      <c r="BC480" s="27">
        <f>HYPERLINK("[N&amp;P with New retention and Differentiation.xlsx]'Lake P Results'!O26", 75.15)</f>
        <v>75.150000000000006</v>
      </c>
      <c r="BD480" s="18"/>
      <c r="BE480" s="46">
        <f>BC480-BA480</f>
        <v>7.3300000000000125</v>
      </c>
      <c r="BF480" s="18"/>
      <c r="BG480" s="18"/>
      <c r="BH480" s="18"/>
      <c r="BI480" s="18"/>
      <c r="BJ480" s="18"/>
      <c r="BK480" s="27">
        <f>HYPERLINK("[N&amp;P Old retention.xlsx]'Lake P Results'!Q26", 0.14)</f>
        <v>0.14000000000000001</v>
      </c>
      <c r="BL480" s="18"/>
      <c r="BM480" s="18"/>
      <c r="BN480" s="47">
        <f>BL480-BK480</f>
        <v>-0.14000000000000001</v>
      </c>
      <c r="BO480" s="47">
        <f>BM480-BK480</f>
        <v>-0.14000000000000001</v>
      </c>
    </row>
    <row r="481" spans="1:67" x14ac:dyDescent="0.55000000000000004">
      <c r="A481" s="31">
        <v>110</v>
      </c>
      <c r="B481" s="5" t="s">
        <v>344</v>
      </c>
      <c r="C481" s="13"/>
      <c r="D481" s="13"/>
      <c r="E481" s="13"/>
      <c r="F481" s="13"/>
      <c r="G481" s="13"/>
      <c r="H481" s="28">
        <f>HYPERLINK("[N&amp;P Old retention.xlsx]'Lake P Results'!AM27", 2400)</f>
        <v>2400</v>
      </c>
      <c r="I481" s="28">
        <f>HYPERLINK("[N&amp;P New retention.xlsx]'Lake P Results'!AM27", 2400)</f>
        <v>2400</v>
      </c>
      <c r="J481" s="28">
        <f>HYPERLINK("[N&amp;P with New retention and Differentiation.xlsx]'Lake P Results'!AM27", 2400)</f>
        <v>2400</v>
      </c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28">
        <f>HYPERLINK("[N&amp;P Old retention.xlsx]'Lake P Results'!AH27", 150)</f>
        <v>150</v>
      </c>
      <c r="AR481" s="28">
        <f>HYPERLINK("[N&amp;P New retention.xlsx]'Lake P Results'!AH27", 150)</f>
        <v>150</v>
      </c>
      <c r="AS481" s="28">
        <f>HYPERLINK("[N&amp;P with New retention and Differentiation.xlsx]'Lake P Results'!AH27", 150)</f>
        <v>150</v>
      </c>
      <c r="AT481" s="13"/>
      <c r="AU481" s="13"/>
      <c r="AV481" s="13"/>
      <c r="AW481" s="13"/>
      <c r="AX481" s="13"/>
      <c r="AY481" s="13"/>
      <c r="AZ481" s="13"/>
      <c r="BA481" s="29">
        <f>HYPERLINK("[N&amp;P Old retention.xlsx]'Lake P Results'!O27", 260.38)</f>
        <v>260.38</v>
      </c>
      <c r="BB481" s="29">
        <f>HYPERLINK("[N&amp;P New retention.xlsx]'Lake P Results'!O27", 260.38)</f>
        <v>260.38</v>
      </c>
      <c r="BC481" s="29">
        <f>HYPERLINK("[N&amp;P with New retention and Differentiation.xlsx]'Lake P Results'!O27", 260.38)</f>
        <v>260.38</v>
      </c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</row>
    <row r="482" spans="1:67" x14ac:dyDescent="0.55000000000000004">
      <c r="A482" s="30">
        <v>111</v>
      </c>
      <c r="B482" s="6" t="s">
        <v>345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27">
        <f>HYPERLINK("[N&amp;P Old retention.xlsx]'Lake P Results'!M28", 54.812)</f>
        <v>54.811999999999998</v>
      </c>
      <c r="AW482" s="27">
        <f>HYPERLINK("[N&amp;P New retention.xlsx]'Lake P Results'!M28", 3.2)</f>
        <v>3.2</v>
      </c>
      <c r="AX482" s="27">
        <f>HYPERLINK("[N&amp;P with New retention and Differentiation.xlsx]'Lake P Results'!M28", 3.2)</f>
        <v>3.2</v>
      </c>
      <c r="AY482" s="47">
        <f>AW482-AV482</f>
        <v>-51.611999999999995</v>
      </c>
      <c r="AZ482" s="47">
        <f>AX482-AV482</f>
        <v>-51.611999999999995</v>
      </c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27">
        <f>HYPERLINK("[N&amp;P Old retention.xlsx]'Lake P Results'!Q28", 5.14000000000001)</f>
        <v>5.1400000000000103</v>
      </c>
      <c r="BL482" s="27">
        <f>HYPERLINK("[N&amp;P New retention.xlsx]'Lake P Results'!Q28", 0.449999999999999)</f>
        <v>0.44999999999999901</v>
      </c>
      <c r="BM482" s="27">
        <f>HYPERLINK("[N&amp;P with New retention and Differentiation.xlsx]'Lake P Results'!Q28", 0.449999999999999)</f>
        <v>0.44999999999999901</v>
      </c>
      <c r="BN482" s="47">
        <f>BL482-BK482</f>
        <v>-4.690000000000011</v>
      </c>
      <c r="BO482" s="47">
        <f>BM482-BK482</f>
        <v>-4.690000000000011</v>
      </c>
    </row>
    <row r="483" spans="1:67" x14ac:dyDescent="0.55000000000000004">
      <c r="A483" s="31">
        <v>113</v>
      </c>
      <c r="B483" s="5" t="s">
        <v>346</v>
      </c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</row>
    <row r="484" spans="1:67" x14ac:dyDescent="0.55000000000000004">
      <c r="A484" s="30">
        <v>114</v>
      </c>
      <c r="B484" s="6" t="s">
        <v>347</v>
      </c>
      <c r="C484" s="27">
        <f>HYPERLINK("[N&amp;P Old retention.xlsx]'Lake P Results'!AE30", 0.13)</f>
        <v>0.13</v>
      </c>
      <c r="D484" s="27">
        <f>HYPERLINK("[N&amp;P New retention.xlsx]'Lake P Results'!AE30", 0.13)</f>
        <v>0.13</v>
      </c>
      <c r="E484" s="27">
        <f>HYPERLINK("[N&amp;P with New retention and Differentiation.xlsx]'Lake P Results'!AE30", 0.13)</f>
        <v>0.13</v>
      </c>
      <c r="F484" s="18"/>
      <c r="G484" s="18"/>
      <c r="H484" s="26">
        <f>HYPERLINK("[N&amp;P Old retention.xlsx]'Lake P Results'!AM30", 5000)</f>
        <v>5000</v>
      </c>
      <c r="I484" s="26">
        <f>HYPERLINK("[N&amp;P New retention.xlsx]'Lake P Results'!AM30", 5000)</f>
        <v>5000</v>
      </c>
      <c r="J484" s="26">
        <f>HYPERLINK("[N&amp;P with New retention and Differentiation.xlsx]'Lake P Results'!AM30", 5000)</f>
        <v>5000</v>
      </c>
      <c r="K484" s="18"/>
      <c r="L484" s="18"/>
      <c r="M484" s="27">
        <f>HYPERLINK("[N&amp;P Old retention.xlsx]'Lake P Results'!AC30", 4.33)</f>
        <v>4.33</v>
      </c>
      <c r="N484" s="27">
        <f>HYPERLINK("[N&amp;P New retention.xlsx]'Lake P Results'!AC30", 4.33)</f>
        <v>4.33</v>
      </c>
      <c r="O484" s="27">
        <f>HYPERLINK("[N&amp;P with New retention and Differentiation.xlsx]'Lake P Results'!AC30", 4.33)</f>
        <v>4.33</v>
      </c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26">
        <f>HYPERLINK("[N&amp;P Old retention.xlsx]'Lake P Results'!AH30", 250)</f>
        <v>250</v>
      </c>
      <c r="AR484" s="26">
        <f>HYPERLINK("[N&amp;P New retention.xlsx]'Lake P Results'!AH30", 250)</f>
        <v>250</v>
      </c>
      <c r="AS484" s="26">
        <f>HYPERLINK("[N&amp;P with New retention and Differentiation.xlsx]'Lake P Results'!AH30", 250)</f>
        <v>250</v>
      </c>
      <c r="AT484" s="18"/>
      <c r="AU484" s="18"/>
      <c r="AV484" s="27">
        <f>HYPERLINK("[N&amp;P Old retention.xlsx]'Lake P Results'!M30", 211.88)</f>
        <v>211.88</v>
      </c>
      <c r="AW484" s="27">
        <f>HYPERLINK("[N&amp;P New retention.xlsx]'Lake P Results'!M30", 172.6)</f>
        <v>172.6</v>
      </c>
      <c r="AX484" s="27">
        <f>HYPERLINK("[N&amp;P with New retention and Differentiation.xlsx]'Lake P Results'!M30", 211.88)</f>
        <v>211.88</v>
      </c>
      <c r="AY484" s="47">
        <f>AW484-AV484</f>
        <v>-39.28</v>
      </c>
      <c r="AZ484" s="18"/>
      <c r="BA484" s="27">
        <f>HYPERLINK("[N&amp;P Old retention.xlsx]'Lake P Results'!O30", 0.51)</f>
        <v>0.51</v>
      </c>
      <c r="BB484" s="27">
        <f>HYPERLINK("[N&amp;P New retention.xlsx]'Lake P Results'!O30", 39.79)</f>
        <v>39.79</v>
      </c>
      <c r="BC484" s="27">
        <f>HYPERLINK("[N&amp;P with New retention and Differentiation.xlsx]'Lake P Results'!O30", 0.51)</f>
        <v>0.51</v>
      </c>
      <c r="BD484" s="46">
        <f>BB484-BA484</f>
        <v>39.28</v>
      </c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</row>
    <row r="485" spans="1:67" x14ac:dyDescent="0.55000000000000004">
      <c r="A485" s="31">
        <v>115</v>
      </c>
      <c r="B485" s="5" t="s">
        <v>348</v>
      </c>
      <c r="C485" s="29">
        <f>HYPERLINK("[N&amp;P Old retention.xlsx]'Lake P Results'!AE31", 0.72)</f>
        <v>0.72</v>
      </c>
      <c r="D485" s="29">
        <f>HYPERLINK("[N&amp;P New retention.xlsx]'Lake P Results'!AE31", 0.72)</f>
        <v>0.72</v>
      </c>
      <c r="E485" s="29">
        <f>HYPERLINK("[N&amp;P with New retention and Differentiation.xlsx]'Lake P Results'!AE31", 0.72)</f>
        <v>0.72</v>
      </c>
      <c r="F485" s="13"/>
      <c r="G485" s="13"/>
      <c r="H485" s="28">
        <f>HYPERLINK("[N&amp;P Old retention.xlsx]'Lake P Results'!AM31", 25700)</f>
        <v>25700</v>
      </c>
      <c r="I485" s="28">
        <f>HYPERLINK("[N&amp;P New retention.xlsx]'Lake P Results'!AM31", 25700)</f>
        <v>25700</v>
      </c>
      <c r="J485" s="28">
        <f>HYPERLINK("[N&amp;P with New retention and Differentiation.xlsx]'Lake P Results'!AM31", 25700)</f>
        <v>25700</v>
      </c>
      <c r="K485" s="13"/>
      <c r="L485" s="13"/>
      <c r="M485" s="29">
        <f>HYPERLINK("[N&amp;P Old retention.xlsx]'Lake P Results'!AC31", 22.658)</f>
        <v>22.658000000000001</v>
      </c>
      <c r="N485" s="29">
        <f>HYPERLINK("[N&amp;P New retention.xlsx]'Lake P Results'!AC31", 14.808)</f>
        <v>14.808</v>
      </c>
      <c r="O485" s="29">
        <f>HYPERLINK("[N&amp;P with New retention and Differentiation.xlsx]'Lake P Results'!AC31", 48.446)</f>
        <v>48.445999999999998</v>
      </c>
      <c r="P485" s="47">
        <f>N485-M485</f>
        <v>-7.8500000000000014</v>
      </c>
      <c r="Q485" s="46">
        <f>O485-M485</f>
        <v>25.787999999999997</v>
      </c>
      <c r="R485" s="29">
        <f>HYPERLINK("[N&amp;P Old retention.xlsx]'Lake P Results'!Y31", 22.794)</f>
        <v>22.794</v>
      </c>
      <c r="S485" s="29">
        <f>HYPERLINK("[N&amp;P New retention.xlsx]'Lake P Results'!Y31", 12.9)</f>
        <v>12.9</v>
      </c>
      <c r="T485" s="29">
        <f>HYPERLINK("[N&amp;P with New retention and Differentiation.xlsx]'Lake P Results'!Y31", 35.608)</f>
        <v>35.607999999999997</v>
      </c>
      <c r="U485" s="47">
        <f>S485-R485</f>
        <v>-9.8940000000000001</v>
      </c>
      <c r="V485" s="46">
        <f>T485-R485</f>
        <v>12.813999999999997</v>
      </c>
      <c r="W485" s="29">
        <f>HYPERLINK("[N&amp;P Old retention.xlsx]'Lake P Results'!V31", 39.69)</f>
        <v>39.69</v>
      </c>
      <c r="X485" s="29">
        <f>HYPERLINK("[N&amp;P New retention.xlsx]'Lake P Results'!V31", 39.69)</f>
        <v>39.69</v>
      </c>
      <c r="Y485" s="29">
        <f>HYPERLINK("[N&amp;P with New retention and Differentiation.xlsx]'Lake P Results'!V31", 39.69)</f>
        <v>39.69</v>
      </c>
      <c r="Z485" s="13"/>
      <c r="AA485" s="13"/>
      <c r="AB485" s="29">
        <f>HYPERLINK("[N&amp;P Old retention.xlsx]'Lake P Results'!Z31", 50.472)</f>
        <v>50.472000000000001</v>
      </c>
      <c r="AC485" s="29">
        <f>HYPERLINK("[N&amp;P New retention.xlsx]'Lake P Results'!Z31", 68.216)</f>
        <v>68.215999999999994</v>
      </c>
      <c r="AD485" s="29">
        <f>HYPERLINK("[N&amp;P with New retention and Differentiation.xlsx]'Lake P Results'!Z31", 11.87)</f>
        <v>11.87</v>
      </c>
      <c r="AE485" s="46">
        <f>AC485-AB485</f>
        <v>17.743999999999993</v>
      </c>
      <c r="AF485" s="47">
        <f>AD485-AB485</f>
        <v>-38.602000000000004</v>
      </c>
      <c r="AG485" s="13"/>
      <c r="AH485" s="13"/>
      <c r="AI485" s="13"/>
      <c r="AJ485" s="13"/>
      <c r="AK485" s="13"/>
      <c r="AL485" s="29">
        <f>HYPERLINK("[N&amp;P Old retention.xlsx]'Lake P Results'!AF31", 0.2)</f>
        <v>0.2</v>
      </c>
      <c r="AM485" s="29">
        <f>HYPERLINK("[N&amp;P New retention.xlsx]'Lake P Results'!AF31", 0.2)</f>
        <v>0.2</v>
      </c>
      <c r="AN485" s="29">
        <f>HYPERLINK("[N&amp;P with New retention and Differentiation.xlsx]'Lake P Results'!AF31", 0.2)</f>
        <v>0.2</v>
      </c>
      <c r="AO485" s="13"/>
      <c r="AP485" s="13"/>
      <c r="AQ485" s="28">
        <f>HYPERLINK("[N&amp;P Old retention.xlsx]'Lake P Results'!AH31", 1070)</f>
        <v>1070</v>
      </c>
      <c r="AR485" s="28">
        <f>HYPERLINK("[N&amp;P New retention.xlsx]'Lake P Results'!AH31", 1070)</f>
        <v>1070</v>
      </c>
      <c r="AS485" s="28">
        <f>HYPERLINK("[N&amp;P with New retention and Differentiation.xlsx]'Lake P Results'!AH31", 1070)</f>
        <v>1070</v>
      </c>
      <c r="AT485" s="13"/>
      <c r="AU485" s="13"/>
      <c r="AV485" s="29">
        <f>HYPERLINK("[N&amp;P Old retention.xlsx]'Lake P Results'!M31", 599.27)</f>
        <v>599.27</v>
      </c>
      <c r="AW485" s="29">
        <f>HYPERLINK("[N&amp;P New retention.xlsx]'Lake P Results'!M31", 909.3)</f>
        <v>909.3</v>
      </c>
      <c r="AX485" s="29">
        <f>HYPERLINK("[N&amp;P with New retention and Differentiation.xlsx]'Lake P Results'!M31", 909.3)</f>
        <v>909.3</v>
      </c>
      <c r="AY485" s="46">
        <f>AW485-AV485</f>
        <v>310.02999999999997</v>
      </c>
      <c r="AZ485" s="46">
        <f>AX485-AV485</f>
        <v>310.02999999999997</v>
      </c>
      <c r="BA485" s="29">
        <f>HYPERLINK("[N&amp;P Old retention.xlsx]'Lake P Results'!O31", 444.05)</f>
        <v>444.05</v>
      </c>
      <c r="BB485" s="29">
        <f>HYPERLINK("[N&amp;P New retention.xlsx]'Lake P Results'!O31", 134.02)</f>
        <v>134.02000000000001</v>
      </c>
      <c r="BC485" s="29">
        <f>HYPERLINK("[N&amp;P with New retention and Differentiation.xlsx]'Lake P Results'!O31", 134.02)</f>
        <v>134.02000000000001</v>
      </c>
      <c r="BD485" s="47">
        <f>BB485-BA485</f>
        <v>-310.02999999999997</v>
      </c>
      <c r="BE485" s="47">
        <f>BC485-BA485</f>
        <v>-310.02999999999997</v>
      </c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</row>
    <row r="486" spans="1:67" x14ac:dyDescent="0.55000000000000004">
      <c r="A486" s="30">
        <v>117</v>
      </c>
      <c r="B486" s="6" t="s">
        <v>349</v>
      </c>
      <c r="C486" s="27">
        <f>HYPERLINK("[N&amp;P Old retention.xlsx]'Lake P Results'!AE32", 0.3)</f>
        <v>0.3</v>
      </c>
      <c r="D486" s="27">
        <f>HYPERLINK("[N&amp;P New retention.xlsx]'Lake P Results'!AE32", 0.3)</f>
        <v>0.3</v>
      </c>
      <c r="E486" s="27">
        <f>HYPERLINK("[N&amp;P with New retention and Differentiation.xlsx]'Lake P Results'!AE32", 0.3)</f>
        <v>0.3</v>
      </c>
      <c r="F486" s="18"/>
      <c r="G486" s="18"/>
      <c r="H486" s="26">
        <f>HYPERLINK("[N&amp;P Old retention.xlsx]'Lake P Results'!AM32", 3200)</f>
        <v>3200</v>
      </c>
      <c r="I486" s="26">
        <f>HYPERLINK("[N&amp;P New retention.xlsx]'Lake P Results'!AM32", 3200)</f>
        <v>3200</v>
      </c>
      <c r="J486" s="26">
        <f>HYPERLINK("[N&amp;P with New retention and Differentiation.xlsx]'Lake P Results'!AM32", 3200)</f>
        <v>3200</v>
      </c>
      <c r="K486" s="18"/>
      <c r="L486" s="18"/>
      <c r="M486" s="27">
        <f>HYPERLINK("[N&amp;P Old retention.xlsx]'Lake P Results'!AC32", 26.79)</f>
        <v>26.79</v>
      </c>
      <c r="N486" s="27">
        <f>HYPERLINK("[N&amp;P New retention.xlsx]'Lake P Results'!AC32", 26.79)</f>
        <v>26.79</v>
      </c>
      <c r="O486" s="27">
        <f>HYPERLINK("[N&amp;P with New retention and Differentiation.xlsx]'Lake P Results'!AC32", 33.86)</f>
        <v>33.86</v>
      </c>
      <c r="P486" s="18"/>
      <c r="Q486" s="46">
        <f>O486-M486</f>
        <v>7.07</v>
      </c>
      <c r="R486" s="18"/>
      <c r="S486" s="27">
        <f>HYPERLINK("[N&amp;P New retention.xlsx]'Lake P Results'!Y32", 7.07)</f>
        <v>7.07</v>
      </c>
      <c r="T486" s="27">
        <f>HYPERLINK("[N&amp;P with New retention and Differentiation.xlsx]'Lake P Results'!Y32", 5.03)</f>
        <v>5.03</v>
      </c>
      <c r="U486" s="46">
        <f>S486-R486</f>
        <v>7.07</v>
      </c>
      <c r="V486" s="46">
        <f>T486-R486</f>
        <v>5.03</v>
      </c>
      <c r="W486" s="18"/>
      <c r="X486" s="18"/>
      <c r="Y486" s="18"/>
      <c r="Z486" s="18"/>
      <c r="AA486" s="18"/>
      <c r="AB486" s="27">
        <f>HYPERLINK("[N&amp;P Old retention.xlsx]'Lake P Results'!Z32", 9.26)</f>
        <v>9.26</v>
      </c>
      <c r="AC486" s="27">
        <f>HYPERLINK("[N&amp;P New retention.xlsx]'Lake P Results'!Z32", 2.19)</f>
        <v>2.19</v>
      </c>
      <c r="AD486" s="18"/>
      <c r="AE486" s="47">
        <f>AC486-AB486</f>
        <v>-7.07</v>
      </c>
      <c r="AF486" s="47">
        <f>AD486-AB486</f>
        <v>-9.26</v>
      </c>
      <c r="AG486" s="18"/>
      <c r="AH486" s="27">
        <f>HYPERLINK("[N&amp;P New retention.xlsx]'Lake P Results'!AA32", 3.95)</f>
        <v>3.95</v>
      </c>
      <c r="AI486" s="18"/>
      <c r="AJ486" s="46">
        <f>AH486-AG486</f>
        <v>3.95</v>
      </c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27">
        <f>HYPERLINK("[N&amp;P Old retention.xlsx]'Lake P Results'!M32", 39.26)</f>
        <v>39.26</v>
      </c>
      <c r="AW486" s="27">
        <f>HYPERLINK("[N&amp;P New retention.xlsx]'Lake P Results'!M32", 39.26)</f>
        <v>39.26</v>
      </c>
      <c r="AX486" s="27">
        <f>HYPERLINK("[N&amp;P with New retention and Differentiation.xlsx]'Lake P Results'!M32", 39.26)</f>
        <v>39.26</v>
      </c>
      <c r="AY486" s="18"/>
      <c r="AZ486" s="18"/>
      <c r="BA486" s="27">
        <f>HYPERLINK("[N&amp;P Old retention.xlsx]'Lake P Results'!O32", 2.232)</f>
        <v>2.2320000000000002</v>
      </c>
      <c r="BB486" s="27">
        <f>HYPERLINK("[N&amp;P New retention.xlsx]'Lake P Results'!O32", 2.232)</f>
        <v>2.2320000000000002</v>
      </c>
      <c r="BC486" s="27">
        <f>HYPERLINK("[N&amp;P with New retention and Differentiation.xlsx]'Lake P Results'!O32", 2.232)</f>
        <v>2.2320000000000002</v>
      </c>
      <c r="BD486" s="18"/>
      <c r="BE486" s="18"/>
      <c r="BF486" s="18"/>
      <c r="BG486" s="18"/>
      <c r="BH486" s="18"/>
      <c r="BI486" s="18"/>
      <c r="BJ486" s="18"/>
      <c r="BK486" s="27">
        <f>HYPERLINK("[N&amp;P Old retention.xlsx]'Lake P Results'!Q32", 2.23)</f>
        <v>2.23</v>
      </c>
      <c r="BL486" s="27">
        <f>HYPERLINK("[N&amp;P New retention.xlsx]'Lake P Results'!Q32", 0.799999999999998)</f>
        <v>0.79999999999999805</v>
      </c>
      <c r="BM486" s="18"/>
      <c r="BN486" s="47">
        <f>BL486-BK486</f>
        <v>-1.4300000000000019</v>
      </c>
      <c r="BO486" s="47">
        <f>BM486-BK486</f>
        <v>-2.23</v>
      </c>
    </row>
    <row r="487" spans="1:67" x14ac:dyDescent="0.55000000000000004">
      <c r="A487" s="31">
        <v>119</v>
      </c>
      <c r="B487" s="5" t="s">
        <v>350</v>
      </c>
      <c r="C487" s="29">
        <f>HYPERLINK("[N&amp;P Old retention.xlsx]'Lake P Results'!AE33", 0.510000000000001)</f>
        <v>0.51000000000000101</v>
      </c>
      <c r="D487" s="29">
        <f>HYPERLINK("[N&amp;P New retention.xlsx]'Lake P Results'!AE33", 0.510000000000001)</f>
        <v>0.51000000000000101</v>
      </c>
      <c r="E487" s="29">
        <f>HYPERLINK("[N&amp;P with New retention and Differentiation.xlsx]'Lake P Results'!AE33", 0.510000000000001)</f>
        <v>0.51000000000000101</v>
      </c>
      <c r="F487" s="13"/>
      <c r="G487" s="13"/>
      <c r="H487" s="28">
        <f>HYPERLINK("[N&amp;P Old retention.xlsx]'Lake P Results'!AM33", 19600)</f>
        <v>19600</v>
      </c>
      <c r="I487" s="28">
        <f>HYPERLINK("[N&amp;P New retention.xlsx]'Lake P Results'!AM33", 19600)</f>
        <v>19600</v>
      </c>
      <c r="J487" s="28">
        <f>HYPERLINK("[N&amp;P with New retention and Differentiation.xlsx]'Lake P Results'!AM33", 19600)</f>
        <v>19600</v>
      </c>
      <c r="K487" s="13"/>
      <c r="L487" s="13"/>
      <c r="M487" s="29">
        <f>HYPERLINK("[N&amp;P Old retention.xlsx]'Lake P Results'!AC33", 1.92)</f>
        <v>1.92</v>
      </c>
      <c r="N487" s="29">
        <f>HYPERLINK("[N&amp;P New retention.xlsx]'Lake P Results'!AC33", 1.92)</f>
        <v>1.92</v>
      </c>
      <c r="O487" s="13"/>
      <c r="P487" s="13"/>
      <c r="Q487" s="47">
        <f>O487-M487</f>
        <v>-1.92</v>
      </c>
      <c r="R487" s="29">
        <f>HYPERLINK("[N&amp;P Old retention.xlsx]'Lake P Results'!Y33", 1.566)</f>
        <v>1.5660000000000001</v>
      </c>
      <c r="S487" s="29">
        <f>HYPERLINK("[N&amp;P New retention.xlsx]'Lake P Results'!Y33", 1.566)</f>
        <v>1.5660000000000001</v>
      </c>
      <c r="T487" s="29">
        <f>HYPERLINK("[N&amp;P with New retention and Differentiation.xlsx]'Lake P Results'!Y33", 3.486)</f>
        <v>3.4860000000000002</v>
      </c>
      <c r="U487" s="13"/>
      <c r="V487" s="46">
        <f>T487-R487</f>
        <v>1.9200000000000002</v>
      </c>
      <c r="W487" s="29">
        <f>HYPERLINK("[N&amp;P Old retention.xlsx]'Lake P Results'!V33", 2.42)</f>
        <v>2.42</v>
      </c>
      <c r="X487" s="29">
        <f>HYPERLINK("[N&amp;P New retention.xlsx]'Lake P Results'!V33", 2.42)</f>
        <v>2.42</v>
      </c>
      <c r="Y487" s="29">
        <f>HYPERLINK("[N&amp;P with New retention and Differentiation.xlsx]'Lake P Results'!V33", 2.42)</f>
        <v>2.42</v>
      </c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28">
        <f>HYPERLINK("[N&amp;P Old retention.xlsx]'Lake P Results'!AH33", 470)</f>
        <v>470</v>
      </c>
      <c r="AR487" s="28">
        <f>HYPERLINK("[N&amp;P New retention.xlsx]'Lake P Results'!AH33", 470)</f>
        <v>470</v>
      </c>
      <c r="AS487" s="28">
        <f>HYPERLINK("[N&amp;P with New retention and Differentiation.xlsx]'Lake P Results'!AH33", 470)</f>
        <v>470</v>
      </c>
      <c r="AT487" s="13"/>
      <c r="AU487" s="13"/>
      <c r="AV487" s="29">
        <f>HYPERLINK("[N&amp;P Old retention.xlsx]'Lake P Results'!M33", 64.29)</f>
        <v>64.290000000000006</v>
      </c>
      <c r="AW487" s="29">
        <f>HYPERLINK("[N&amp;P New retention.xlsx]'Lake P Results'!M33", 463.01)</f>
        <v>463.01</v>
      </c>
      <c r="AX487" s="29">
        <f>HYPERLINK("[N&amp;P with New retention and Differentiation.xlsx]'Lake P Results'!M33", 463.01)</f>
        <v>463.01</v>
      </c>
      <c r="AY487" s="46">
        <f>AW487-AV487</f>
        <v>398.71999999999997</v>
      </c>
      <c r="AZ487" s="46">
        <f>AX487-AV487</f>
        <v>398.71999999999997</v>
      </c>
      <c r="BA487" s="29">
        <f>HYPERLINK("[N&amp;P Old retention.xlsx]'Lake P Results'!O33", 442.278)</f>
        <v>442.27800000000002</v>
      </c>
      <c r="BB487" s="29">
        <f>HYPERLINK("[N&amp;P New retention.xlsx]'Lake P Results'!O33", 43.558)</f>
        <v>43.558</v>
      </c>
      <c r="BC487" s="29">
        <f>HYPERLINK("[N&amp;P with New retention and Differentiation.xlsx]'Lake P Results'!O33", 43.558)</f>
        <v>43.558</v>
      </c>
      <c r="BD487" s="47">
        <f>BB487-BA487</f>
        <v>-398.72</v>
      </c>
      <c r="BE487" s="47">
        <f>BC487-BA487</f>
        <v>-398.72</v>
      </c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</row>
    <row r="488" spans="1:67" x14ac:dyDescent="0.55000000000000004">
      <c r="A488" s="30">
        <v>121</v>
      </c>
      <c r="B488" s="6" t="s">
        <v>351</v>
      </c>
      <c r="C488" s="18"/>
      <c r="D488" s="18"/>
      <c r="E488" s="18"/>
      <c r="F488" s="18"/>
      <c r="G488" s="18"/>
      <c r="H488" s="26">
        <f>HYPERLINK("[N&amp;P Old retention.xlsx]'Lake P Results'!AM34", 200)</f>
        <v>200</v>
      </c>
      <c r="I488" s="26">
        <f>HYPERLINK("[N&amp;P New retention.xlsx]'Lake P Results'!AM34", 100)</f>
        <v>100</v>
      </c>
      <c r="J488" s="26">
        <f>HYPERLINK("[N&amp;P with New retention and Differentiation.xlsx]'Lake P Results'!AM34", 200)</f>
        <v>200</v>
      </c>
      <c r="K488" s="21">
        <f>I488-H488</f>
        <v>-100</v>
      </c>
      <c r="L488" s="18"/>
      <c r="M488" s="27">
        <f>HYPERLINK("[N&amp;P Old retention.xlsx]'Lake P Results'!AC34", 11.41)</f>
        <v>11.41</v>
      </c>
      <c r="N488" s="27">
        <f>HYPERLINK("[N&amp;P New retention.xlsx]'Lake P Results'!AC34", 12.61)</f>
        <v>12.61</v>
      </c>
      <c r="O488" s="27">
        <f>HYPERLINK("[N&amp;P with New retention and Differentiation.xlsx]'Lake P Results'!AC34", 13.89)</f>
        <v>13.89</v>
      </c>
      <c r="P488" s="46">
        <f>N488-M488</f>
        <v>1.1999999999999993</v>
      </c>
      <c r="Q488" s="46">
        <f>O488-M488</f>
        <v>2.4800000000000004</v>
      </c>
      <c r="R488" s="18"/>
      <c r="S488" s="18"/>
      <c r="T488" s="18"/>
      <c r="U488" s="18"/>
      <c r="V488" s="18"/>
      <c r="W488" s="27">
        <f>HYPERLINK("[N&amp;P Old retention.xlsx]'Lake P Results'!V34", 1.35)</f>
        <v>1.35</v>
      </c>
      <c r="X488" s="27">
        <f>HYPERLINK("[N&amp;P New retention.xlsx]'Lake P Results'!V34", 1.35)</f>
        <v>1.35</v>
      </c>
      <c r="Y488" s="27">
        <f>HYPERLINK("[N&amp;P with New retention and Differentiation.xlsx]'Lake P Results'!V34", 1.35)</f>
        <v>1.35</v>
      </c>
      <c r="Z488" s="18"/>
      <c r="AA488" s="18"/>
      <c r="AB488" s="18"/>
      <c r="AC488" s="18"/>
      <c r="AD488" s="18"/>
      <c r="AE488" s="18"/>
      <c r="AF488" s="18"/>
      <c r="AG488" s="27">
        <f>HYPERLINK("[N&amp;P Old retention.xlsx]'Lake P Results'!AA34", 6.74)</f>
        <v>6.74</v>
      </c>
      <c r="AH488" s="27">
        <f>HYPERLINK("[N&amp;P New retention.xlsx]'Lake P Results'!AA34", 6.74)</f>
        <v>6.74</v>
      </c>
      <c r="AI488" s="27">
        <f>HYPERLINK("[N&amp;P with New retention and Differentiation.xlsx]'Lake P Results'!AA34", 6.74)</f>
        <v>6.74</v>
      </c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</row>
    <row r="489" spans="1:67" x14ac:dyDescent="0.55000000000000004">
      <c r="A489" s="31">
        <v>123</v>
      </c>
      <c r="B489" s="5" t="s">
        <v>352</v>
      </c>
      <c r="C489" s="29">
        <f>HYPERLINK("[N&amp;P Old retention.xlsx]'Lake P Results'!AE35", 2.32)</f>
        <v>2.3199999999999998</v>
      </c>
      <c r="D489" s="29">
        <f>HYPERLINK("[N&amp;P New retention.xlsx]'Lake P Results'!AE35", 2.32)</f>
        <v>2.3199999999999998</v>
      </c>
      <c r="E489" s="29">
        <f>HYPERLINK("[N&amp;P with New retention and Differentiation.xlsx]'Lake P Results'!AE35", 2.32)</f>
        <v>2.3199999999999998</v>
      </c>
      <c r="F489" s="13"/>
      <c r="G489" s="13"/>
      <c r="H489" s="28">
        <f>HYPERLINK("[N&amp;P Old retention.xlsx]'Lake P Results'!AM35", 20400)</f>
        <v>20400</v>
      </c>
      <c r="I489" s="28">
        <f>HYPERLINK("[N&amp;P New retention.xlsx]'Lake P Results'!AM35", 20300)</f>
        <v>20300</v>
      </c>
      <c r="J489" s="28">
        <f>HYPERLINK("[N&amp;P with New retention and Differentiation.xlsx]'Lake P Results'!AM35", 20000)</f>
        <v>20000</v>
      </c>
      <c r="K489" s="21">
        <f>I489-H489</f>
        <v>-100</v>
      </c>
      <c r="L489" s="21">
        <f>J489-H489</f>
        <v>-400</v>
      </c>
      <c r="M489" s="29">
        <f>HYPERLINK("[N&amp;P Old retention.xlsx]'Lake P Results'!AC35", 122.09)</f>
        <v>122.09</v>
      </c>
      <c r="N489" s="29">
        <f>HYPERLINK("[N&amp;P New retention.xlsx]'Lake P Results'!AC35", 101.58)</f>
        <v>101.58</v>
      </c>
      <c r="O489" s="29">
        <f>HYPERLINK("[N&amp;P with New retention and Differentiation.xlsx]'Lake P Results'!AC35", 83.15)</f>
        <v>83.15</v>
      </c>
      <c r="P489" s="47">
        <f>N489-M489</f>
        <v>-20.510000000000005</v>
      </c>
      <c r="Q489" s="47">
        <f>O489-M489</f>
        <v>-38.94</v>
      </c>
      <c r="R489" s="29">
        <f>HYPERLINK("[N&amp;P Old retention.xlsx]'Lake P Results'!Y35", 179.464)</f>
        <v>179.464</v>
      </c>
      <c r="S489" s="29">
        <f>HYPERLINK("[N&amp;P New retention.xlsx]'Lake P Results'!Y35", 186.514)</f>
        <v>186.51400000000001</v>
      </c>
      <c r="T489" s="29">
        <f>HYPERLINK("[N&amp;P with New retention and Differentiation.xlsx]'Lake P Results'!Y35", 195.604)</f>
        <v>195.60400000000001</v>
      </c>
      <c r="U489" s="46">
        <f>S489-R489</f>
        <v>7.0500000000000114</v>
      </c>
      <c r="V489" s="46">
        <f>T489-R489</f>
        <v>16.140000000000015</v>
      </c>
      <c r="W489" s="29">
        <f>HYPERLINK("[N&amp;P Old retention.xlsx]'Lake P Results'!V35", 35.824)</f>
        <v>35.823999999999998</v>
      </c>
      <c r="X489" s="29">
        <f>HYPERLINK("[N&amp;P New retention.xlsx]'Lake P Results'!V35", 28.854)</f>
        <v>28.853999999999999</v>
      </c>
      <c r="Y489" s="29">
        <f>HYPERLINK("[N&amp;P with New retention and Differentiation.xlsx]'Lake P Results'!V35", 28.854)</f>
        <v>28.853999999999999</v>
      </c>
      <c r="Z489" s="47">
        <f>X489-W489</f>
        <v>-6.9699999999999989</v>
      </c>
      <c r="AA489" s="47">
        <f>Y489-W489</f>
        <v>-6.9699999999999989</v>
      </c>
      <c r="AB489" s="29">
        <f>HYPERLINK("[N&amp;P Old retention.xlsx]'Lake P Results'!Z35", 2.736)</f>
        <v>2.7360000000000002</v>
      </c>
      <c r="AC489" s="29">
        <f>HYPERLINK("[N&amp;P New retention.xlsx]'Lake P Results'!Z35", 21.016)</f>
        <v>21.015999999999998</v>
      </c>
      <c r="AD489" s="29">
        <f>HYPERLINK("[N&amp;P with New retention and Differentiation.xlsx]'Lake P Results'!Z35", 20.704)</f>
        <v>20.704000000000001</v>
      </c>
      <c r="AE489" s="46">
        <f>AC489-AB489</f>
        <v>18.279999999999998</v>
      </c>
      <c r="AF489" s="46">
        <f>AD489-AB489</f>
        <v>17.968</v>
      </c>
      <c r="AG489" s="13"/>
      <c r="AH489" s="13"/>
      <c r="AI489" s="13"/>
      <c r="AJ489" s="13"/>
      <c r="AK489" s="13"/>
      <c r="AL489" s="29">
        <f>HYPERLINK("[N&amp;P Old retention.xlsx]'Lake P Results'!AF35", 0.19)</f>
        <v>0.19</v>
      </c>
      <c r="AM489" s="29">
        <f>HYPERLINK("[N&amp;P New retention.xlsx]'Lake P Results'!AF35", 0.19)</f>
        <v>0.19</v>
      </c>
      <c r="AN489" s="29">
        <f>HYPERLINK("[N&amp;P with New retention and Differentiation.xlsx]'Lake P Results'!AF35", 0.19)</f>
        <v>0.19</v>
      </c>
      <c r="AO489" s="13"/>
      <c r="AP489" s="13"/>
      <c r="AQ489" s="28">
        <f>HYPERLINK("[N&amp;P Old retention.xlsx]'Lake P Results'!AH35", 939.999999993904)</f>
        <v>939.999999993904</v>
      </c>
      <c r="AR489" s="28">
        <f>HYPERLINK("[N&amp;P New retention.xlsx]'Lake P Results'!AH35", 939.999999993904)</f>
        <v>939.999999993904</v>
      </c>
      <c r="AS489" s="28">
        <f>HYPERLINK("[N&amp;P with New retention and Differentiation.xlsx]'Lake P Results'!AH35", 939.999999993903)</f>
        <v>939.99999999390297</v>
      </c>
      <c r="AT489" s="13"/>
      <c r="AU489" s="21">
        <f>AS489-AQ489</f>
        <v>-1.0231815394945443E-12</v>
      </c>
      <c r="AV489" s="29">
        <f>HYPERLINK("[N&amp;P Old retention.xlsx]'Lake P Results'!M35", 630.47)</f>
        <v>630.47</v>
      </c>
      <c r="AW489" s="29">
        <f>HYPERLINK("[N&amp;P New retention.xlsx]'Lake P Results'!M35", 636.4)</f>
        <v>636.4</v>
      </c>
      <c r="AX489" s="13"/>
      <c r="AY489" s="46">
        <f>AW489-AV489</f>
        <v>5.92999999999995</v>
      </c>
      <c r="AZ489" s="47">
        <f>AX489-AV489</f>
        <v>-630.47</v>
      </c>
      <c r="BA489" s="29">
        <f>HYPERLINK("[N&amp;P Old retention.xlsx]'Lake P Results'!O35", 110.968)</f>
        <v>110.968</v>
      </c>
      <c r="BB489" s="29">
        <f>HYPERLINK("[N&amp;P New retention.xlsx]'Lake P Results'!O35", 108.138)</f>
        <v>108.13800000000001</v>
      </c>
      <c r="BC489" s="29">
        <f>HYPERLINK("[N&amp;P with New retention and Differentiation.xlsx]'Lake P Results'!O35", 750.908)</f>
        <v>750.90800000000002</v>
      </c>
      <c r="BD489" s="47">
        <f>BB489-BA489</f>
        <v>-2.8299999999999983</v>
      </c>
      <c r="BE489" s="46">
        <f>BC489-BA489</f>
        <v>639.94000000000005</v>
      </c>
      <c r="BF489" s="29">
        <f>HYPERLINK("[N&amp;P Old retention.xlsx]'Lake P Results'!R35", 0.184)</f>
        <v>0.184</v>
      </c>
      <c r="BG489" s="29">
        <f>HYPERLINK("[N&amp;P New retention.xlsx]'Lake P Results'!R35", 0.184)</f>
        <v>0.184</v>
      </c>
      <c r="BH489" s="29">
        <f>HYPERLINK("[N&amp;P with New retention and Differentiation.xlsx]'Lake P Results'!R35", 0.184)</f>
        <v>0.184</v>
      </c>
      <c r="BI489" s="13"/>
      <c r="BJ489" s="13"/>
      <c r="BK489" s="13"/>
      <c r="BL489" s="13"/>
      <c r="BM489" s="13"/>
      <c r="BN489" s="13"/>
      <c r="BO489" s="13"/>
    </row>
    <row r="490" spans="1:67" x14ac:dyDescent="0.55000000000000004">
      <c r="A490" s="30">
        <v>128</v>
      </c>
      <c r="B490" s="6" t="s">
        <v>353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26">
        <f>HYPERLINK("[N&amp;P New retention.xlsx]'Lake P Results'!AH36", 250)</f>
        <v>250</v>
      </c>
      <c r="AS490" s="26">
        <f>HYPERLINK("[N&amp;P with New retention and Differentiation.xlsx]'Lake P Results'!AH36", 250)</f>
        <v>250</v>
      </c>
      <c r="AT490" s="16">
        <f>AR490-AQ490</f>
        <v>250</v>
      </c>
      <c r="AU490" s="16">
        <f>AS490-AQ490</f>
        <v>250</v>
      </c>
      <c r="AV490" s="27">
        <f>HYPERLINK("[N&amp;P Old retention.xlsx]'Lake P Results'!M36", 32.91)</f>
        <v>32.909999999999997</v>
      </c>
      <c r="AW490" s="27">
        <f>HYPERLINK("[N&amp;P New retention.xlsx]'Lake P Results'!M36", 49.63)</f>
        <v>49.63</v>
      </c>
      <c r="AX490" s="27">
        <f>HYPERLINK("[N&amp;P with New retention and Differentiation.xlsx]'Lake P Results'!M36", 49.63)</f>
        <v>49.63</v>
      </c>
      <c r="AY490" s="46">
        <f>AW490-AV490</f>
        <v>16.720000000000006</v>
      </c>
      <c r="AZ490" s="46">
        <f>AX490-AV490</f>
        <v>16.720000000000006</v>
      </c>
      <c r="BA490" s="18"/>
      <c r="BB490" s="18"/>
      <c r="BC490" s="18"/>
      <c r="BD490" s="18"/>
      <c r="BE490" s="18"/>
      <c r="BF490" s="27">
        <f>HYPERLINK("[N&amp;P Old retention.xlsx]'Lake P Results'!R36", 0.752)</f>
        <v>0.752</v>
      </c>
      <c r="BG490" s="27">
        <f>HYPERLINK("[N&amp;P New retention.xlsx]'Lake P Results'!R36", 0.902)</f>
        <v>0.90200000000000002</v>
      </c>
      <c r="BH490" s="27">
        <f>HYPERLINK("[N&amp;P with New retention and Differentiation.xlsx]'Lake P Results'!R36", 0.902)</f>
        <v>0.90200000000000002</v>
      </c>
      <c r="BI490" s="46">
        <f>BG490-BF490</f>
        <v>0.15000000000000002</v>
      </c>
      <c r="BJ490" s="46">
        <f>BH490-BF490</f>
        <v>0.15000000000000002</v>
      </c>
      <c r="BK490" s="27">
        <f>HYPERLINK("[N&amp;P Old retention.xlsx]'Lake P Results'!Q36", 1.12)</f>
        <v>1.1200000000000001</v>
      </c>
      <c r="BL490" s="27">
        <f>HYPERLINK("[N&amp;P New retention.xlsx]'Lake P Results'!Q36", 1.86)</f>
        <v>1.86</v>
      </c>
      <c r="BM490" s="27">
        <f>HYPERLINK("[N&amp;P with New retention and Differentiation.xlsx]'Lake P Results'!Q36", 1.86)</f>
        <v>1.86</v>
      </c>
      <c r="BN490" s="46">
        <f>BL490-BK490</f>
        <v>0.74</v>
      </c>
      <c r="BO490" s="46">
        <f>BM490-BK490</f>
        <v>0.74</v>
      </c>
    </row>
    <row r="491" spans="1:67" x14ac:dyDescent="0.55000000000000004">
      <c r="A491" s="31">
        <v>129</v>
      </c>
      <c r="B491" s="5" t="s">
        <v>354</v>
      </c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29">
        <f>HYPERLINK("[N&amp;P Old retention.xlsx]'Lake P Results'!R37", 0.67)</f>
        <v>0.67</v>
      </c>
      <c r="BG491" s="29">
        <f>HYPERLINK("[N&amp;P New retention.xlsx]'Lake P Results'!R37", 0.694)</f>
        <v>0.69399999999999995</v>
      </c>
      <c r="BH491" s="29">
        <f>HYPERLINK("[N&amp;P with New retention and Differentiation.xlsx]'Lake P Results'!R37", 0.694)</f>
        <v>0.69399999999999995</v>
      </c>
      <c r="BI491" s="46">
        <f>BG491-BF491</f>
        <v>2.399999999999991E-2</v>
      </c>
      <c r="BJ491" s="46">
        <f>BH491-BF491</f>
        <v>2.399999999999991E-2</v>
      </c>
      <c r="BK491" s="13"/>
      <c r="BL491" s="29">
        <f>HYPERLINK("[N&amp;P New retention.xlsx]'Lake P Results'!Q37", 0.51)</f>
        <v>0.51</v>
      </c>
      <c r="BM491" s="29">
        <f>HYPERLINK("[N&amp;P with New retention and Differentiation.xlsx]'Lake P Results'!Q37", 0.51)</f>
        <v>0.51</v>
      </c>
      <c r="BN491" s="46">
        <f>BL491-BK491</f>
        <v>0.51</v>
      </c>
      <c r="BO491" s="46">
        <f>BM491-BK491</f>
        <v>0.51</v>
      </c>
    </row>
    <row r="492" spans="1:67" x14ac:dyDescent="0.55000000000000004">
      <c r="A492" s="30">
        <v>135</v>
      </c>
      <c r="B492" s="6" t="s">
        <v>355</v>
      </c>
      <c r="C492" s="27">
        <f>HYPERLINK("[N&amp;P Old retention.xlsx]'Lake P Results'!AE38", 7.36)</f>
        <v>7.36</v>
      </c>
      <c r="D492" s="27">
        <f>HYPERLINK("[N&amp;P New retention.xlsx]'Lake P Results'!AE38", 7.09)</f>
        <v>7.09</v>
      </c>
      <c r="E492" s="27">
        <f>HYPERLINK("[N&amp;P with New retention and Differentiation.xlsx]'Lake P Results'!AE38", 7.09)</f>
        <v>7.09</v>
      </c>
      <c r="F492" s="47">
        <f>D492-C492</f>
        <v>-0.27000000000000046</v>
      </c>
      <c r="G492" s="47">
        <f>E492-C492</f>
        <v>-0.27000000000000046</v>
      </c>
      <c r="H492" s="26">
        <f>HYPERLINK("[N&amp;P Old retention.xlsx]'Lake P Results'!AM38", 19100)</f>
        <v>19100</v>
      </c>
      <c r="I492" s="26">
        <f>HYPERLINK("[N&amp;P New retention.xlsx]'Lake P Results'!AM38", 19200)</f>
        <v>19200</v>
      </c>
      <c r="J492" s="26">
        <f>HYPERLINK("[N&amp;P with New retention and Differentiation.xlsx]'Lake P Results'!AM38", 17400)</f>
        <v>17400</v>
      </c>
      <c r="K492" s="16">
        <f>I492-H492</f>
        <v>100</v>
      </c>
      <c r="L492" s="21">
        <f>J492-H492</f>
        <v>-1700</v>
      </c>
      <c r="M492" s="27">
        <f>HYPERLINK("[N&amp;P Old retention.xlsx]'Lake P Results'!AC38", 699.612)</f>
        <v>699.61199999999997</v>
      </c>
      <c r="N492" s="27">
        <f>HYPERLINK("[N&amp;P New retention.xlsx]'Lake P Results'!AC38", 629.542)</f>
        <v>629.54200000000003</v>
      </c>
      <c r="O492" s="27">
        <f>HYPERLINK("[N&amp;P with New retention and Differentiation.xlsx]'Lake P Results'!AC38", 628.632)</f>
        <v>628.63199999999995</v>
      </c>
      <c r="P492" s="47">
        <f>N492-M492</f>
        <v>-70.069999999999936</v>
      </c>
      <c r="Q492" s="47">
        <f>O492-M492</f>
        <v>-70.980000000000018</v>
      </c>
      <c r="R492" s="27">
        <f>HYPERLINK("[N&amp;P Old retention.xlsx]'Lake P Results'!Y38", 384.316)</f>
        <v>384.31599999999997</v>
      </c>
      <c r="S492" s="27">
        <f>HYPERLINK("[N&amp;P New retention.xlsx]'Lake P Results'!Y38", 359.476)</f>
        <v>359.476</v>
      </c>
      <c r="T492" s="27">
        <f>HYPERLINK("[N&amp;P with New retention and Differentiation.xlsx]'Lake P Results'!Y38", 364.194)</f>
        <v>364.19400000000002</v>
      </c>
      <c r="U492" s="47">
        <f>S492-R492</f>
        <v>-24.839999999999975</v>
      </c>
      <c r="V492" s="47">
        <f>T492-R492</f>
        <v>-20.121999999999957</v>
      </c>
      <c r="W492" s="27">
        <f>HYPERLINK("[N&amp;P Old retention.xlsx]'Lake P Results'!V38", 256.56)</f>
        <v>256.56</v>
      </c>
      <c r="X492" s="27">
        <f>HYPERLINK("[N&amp;P New retention.xlsx]'Lake P Results'!V38", 228.32)</f>
        <v>228.32</v>
      </c>
      <c r="Y492" s="27">
        <f>HYPERLINK("[N&amp;P with New retention and Differentiation.xlsx]'Lake P Results'!V38", 195.66)</f>
        <v>195.66</v>
      </c>
      <c r="Z492" s="47">
        <f>X492-W492</f>
        <v>-28.240000000000009</v>
      </c>
      <c r="AA492" s="47">
        <f>Y492-W492</f>
        <v>-60.900000000000006</v>
      </c>
      <c r="AB492" s="27">
        <f>HYPERLINK("[N&amp;P Old retention.xlsx]'Lake P Results'!Z38", 3.422)</f>
        <v>3.4220000000000002</v>
      </c>
      <c r="AC492" s="27">
        <f>HYPERLINK("[N&amp;P New retention.xlsx]'Lake P Results'!Z38", 24.23)</f>
        <v>24.23</v>
      </c>
      <c r="AD492" s="27">
        <f>HYPERLINK("[N&amp;P with New retention and Differentiation.xlsx]'Lake P Results'!Z38", 27.53)</f>
        <v>27.53</v>
      </c>
      <c r="AE492" s="46">
        <f>AC492-AB492</f>
        <v>20.808</v>
      </c>
      <c r="AF492" s="46">
        <f>AD492-AB492</f>
        <v>24.108000000000001</v>
      </c>
      <c r="AG492" s="27">
        <f>HYPERLINK("[N&amp;P Old retention.xlsx]'Lake P Results'!AA38", 6.89)</f>
        <v>6.89</v>
      </c>
      <c r="AH492" s="27">
        <f>HYPERLINK("[N&amp;P New retention.xlsx]'Lake P Results'!AA38", 2.07)</f>
        <v>2.0699999999999998</v>
      </c>
      <c r="AI492" s="27">
        <f>HYPERLINK("[N&amp;P with New retention and Differentiation.xlsx]'Lake P Results'!AA38", 22.65)</f>
        <v>22.65</v>
      </c>
      <c r="AJ492" s="47">
        <f>AH492-AG492</f>
        <v>-4.82</v>
      </c>
      <c r="AK492" s="46">
        <f>AI492-AG492</f>
        <v>15.759999999999998</v>
      </c>
      <c r="AL492" s="27">
        <f>HYPERLINK("[N&amp;P Old retention.xlsx]'Lake P Results'!AF38", 0.19)</f>
        <v>0.19</v>
      </c>
      <c r="AM492" s="18"/>
      <c r="AN492" s="18"/>
      <c r="AO492" s="47">
        <f>AM492-AL492</f>
        <v>-0.19</v>
      </c>
      <c r="AP492" s="47">
        <f>AN492-AL492</f>
        <v>-0.19</v>
      </c>
      <c r="AQ492" s="26">
        <f>HYPERLINK("[N&amp;P Old retention.xlsx]'Lake P Results'!AH38", 1550)</f>
        <v>1550</v>
      </c>
      <c r="AR492" s="26">
        <f>HYPERLINK("[N&amp;P New retention.xlsx]'Lake P Results'!AH38", 1550)</f>
        <v>1550</v>
      </c>
      <c r="AS492" s="26">
        <f>HYPERLINK("[N&amp;P with New retention and Differentiation.xlsx]'Lake P Results'!AH38", 1550)</f>
        <v>1550</v>
      </c>
      <c r="AT492" s="18"/>
      <c r="AU492" s="18"/>
      <c r="AV492" s="27">
        <f>HYPERLINK("[N&amp;P Old retention.xlsx]'Lake P Results'!M38", 226.08)</f>
        <v>226.08</v>
      </c>
      <c r="AW492" s="27">
        <f>HYPERLINK("[N&amp;P New retention.xlsx]'Lake P Results'!M38", 296.44)</f>
        <v>296.44</v>
      </c>
      <c r="AX492" s="27">
        <f>HYPERLINK("[N&amp;P with New retention and Differentiation.xlsx]'Lake P Results'!M38", 235.04)</f>
        <v>235.04</v>
      </c>
      <c r="AY492" s="46">
        <f>AW492-AV492</f>
        <v>70.359999999999985</v>
      </c>
      <c r="AZ492" s="46">
        <f>AX492-AV492</f>
        <v>8.9599999999999795</v>
      </c>
      <c r="BA492" s="27">
        <f>HYPERLINK("[N&amp;P Old retention.xlsx]'Lake P Results'!O38", 20.294)</f>
        <v>20.294</v>
      </c>
      <c r="BB492" s="27">
        <f>HYPERLINK("[N&amp;P New retention.xlsx]'Lake P Results'!O38", 23.714)</f>
        <v>23.713999999999999</v>
      </c>
      <c r="BC492" s="27">
        <f>HYPERLINK("[N&amp;P with New retention and Differentiation.xlsx]'Lake P Results'!O38", 94.976)</f>
        <v>94.975999999999999</v>
      </c>
      <c r="BD492" s="46">
        <f>BB492-BA492</f>
        <v>3.4199999999999982</v>
      </c>
      <c r="BE492" s="46">
        <f>BC492-BA492</f>
        <v>74.682000000000002</v>
      </c>
      <c r="BF492" s="27">
        <f>HYPERLINK("[N&amp;P Old retention.xlsx]'Lake P Results'!R38", 1.84)</f>
        <v>1.84</v>
      </c>
      <c r="BG492" s="27">
        <f>HYPERLINK("[N&amp;P New retention.xlsx]'Lake P Results'!R38", 23.51)</f>
        <v>23.51</v>
      </c>
      <c r="BH492" s="27">
        <f>HYPERLINK("[N&amp;P with New retention and Differentiation.xlsx]'Lake P Results'!R38", 23.51)</f>
        <v>23.51</v>
      </c>
      <c r="BI492" s="46">
        <f>BG492-BF492</f>
        <v>21.67</v>
      </c>
      <c r="BJ492" s="46">
        <f>BH492-BF492</f>
        <v>21.67</v>
      </c>
      <c r="BK492" s="18"/>
      <c r="BL492" s="18"/>
      <c r="BM492" s="18"/>
      <c r="BN492" s="18"/>
      <c r="BO492" s="18"/>
    </row>
    <row r="493" spans="1:67" x14ac:dyDescent="0.55000000000000004">
      <c r="A493" s="31">
        <v>136</v>
      </c>
      <c r="B493" s="5" t="s">
        <v>356</v>
      </c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29">
        <f>HYPERLINK("[N&amp;P Old retention.xlsx]'Lake P Results'!R39", 0.19)</f>
        <v>0.19</v>
      </c>
      <c r="BG493" s="29">
        <f>HYPERLINK("[N&amp;P New retention.xlsx]'Lake P Results'!R39", 0.19)</f>
        <v>0.19</v>
      </c>
      <c r="BH493" s="29">
        <f>HYPERLINK("[N&amp;P with New retention and Differentiation.xlsx]'Lake P Results'!R39", 0.19)</f>
        <v>0.19</v>
      </c>
      <c r="BI493" s="13"/>
      <c r="BJ493" s="13"/>
      <c r="BK493" s="29">
        <f>HYPERLINK("[N&amp;P Old retention.xlsx]'Lake P Results'!Q39", 2.19)</f>
        <v>2.19</v>
      </c>
      <c r="BL493" s="13"/>
      <c r="BM493" s="13"/>
      <c r="BN493" s="47">
        <f>BL493-BK493</f>
        <v>-2.19</v>
      </c>
      <c r="BO493" s="47">
        <f>BM493-BK493</f>
        <v>-2.19</v>
      </c>
    </row>
    <row r="494" spans="1:67" x14ac:dyDescent="0.55000000000000004">
      <c r="A494" s="30">
        <v>137</v>
      </c>
      <c r="B494" s="6" t="s">
        <v>357</v>
      </c>
      <c r="C494" s="18"/>
      <c r="D494" s="18"/>
      <c r="E494" s="18"/>
      <c r="F494" s="18"/>
      <c r="G494" s="18"/>
      <c r="H494" s="26">
        <f>HYPERLINK("[N&amp;P Old retention.xlsx]'Lake P Results'!AM40", 2600)</f>
        <v>2600</v>
      </c>
      <c r="I494" s="26">
        <f>HYPERLINK("[N&amp;P New retention.xlsx]'Lake P Results'!AM40", 2600)</f>
        <v>2600</v>
      </c>
      <c r="J494" s="26">
        <f>HYPERLINK("[N&amp;P with New retention and Differentiation.xlsx]'Lake P Results'!AM40", 2600)</f>
        <v>2600</v>
      </c>
      <c r="K494" s="18"/>
      <c r="L494" s="18"/>
      <c r="M494" s="18"/>
      <c r="N494" s="18"/>
      <c r="O494" s="18"/>
      <c r="P494" s="18"/>
      <c r="Q494" s="18"/>
      <c r="R494" s="27">
        <f>HYPERLINK("[N&amp;P Old retention.xlsx]'Lake P Results'!Y40", 8.27)</f>
        <v>8.27</v>
      </c>
      <c r="S494" s="27">
        <f>HYPERLINK("[N&amp;P New retention.xlsx]'Lake P Results'!Y40", 8.27)</f>
        <v>8.27</v>
      </c>
      <c r="T494" s="27">
        <f>HYPERLINK("[N&amp;P with New retention and Differentiation.xlsx]'Lake P Results'!Y40", 8.27)</f>
        <v>8.27</v>
      </c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26">
        <f>HYPERLINK("[N&amp;P Old retention.xlsx]'Lake P Results'!AH40", 510)</f>
        <v>510</v>
      </c>
      <c r="AR494" s="26">
        <f>HYPERLINK("[N&amp;P New retention.xlsx]'Lake P Results'!AH40", 510)</f>
        <v>510</v>
      </c>
      <c r="AS494" s="26">
        <f>HYPERLINK("[N&amp;P with New retention and Differentiation.xlsx]'Lake P Results'!AH40", 510)</f>
        <v>510</v>
      </c>
      <c r="AT494" s="18"/>
      <c r="AU494" s="18"/>
      <c r="AV494" s="18"/>
      <c r="AW494" s="18"/>
      <c r="AX494" s="18"/>
      <c r="AY494" s="18"/>
      <c r="AZ494" s="18"/>
      <c r="BA494" s="27">
        <f>HYPERLINK("[N&amp;P Old retention.xlsx]'Lake P Results'!O40", 552.566)</f>
        <v>552.56600000000003</v>
      </c>
      <c r="BB494" s="27">
        <f>HYPERLINK("[N&amp;P New retention.xlsx]'Lake P Results'!O40", 552.566)</f>
        <v>552.56600000000003</v>
      </c>
      <c r="BC494" s="27">
        <f>HYPERLINK("[N&amp;P with New retention and Differentiation.xlsx]'Lake P Results'!O40", 552.566)</f>
        <v>552.56600000000003</v>
      </c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</row>
    <row r="495" spans="1:67" x14ac:dyDescent="0.55000000000000004">
      <c r="A495" s="31">
        <v>139</v>
      </c>
      <c r="B495" s="5" t="s">
        <v>358</v>
      </c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29">
        <f>HYPERLINK("[N&amp;P Old retention.xlsx]'Lake P Results'!R41", 0.392000000000001)</f>
        <v>0.39200000000000101</v>
      </c>
      <c r="BG495" s="29">
        <f>HYPERLINK("[N&amp;P New retention.xlsx]'Lake P Results'!R41", 0.392000000000001)</f>
        <v>0.39200000000000101</v>
      </c>
      <c r="BH495" s="29">
        <f>HYPERLINK("[N&amp;P with New retention and Differentiation.xlsx]'Lake P Results'!R41", 0.392000000000001)</f>
        <v>0.39200000000000101</v>
      </c>
      <c r="BI495" s="13"/>
      <c r="BJ495" s="13"/>
      <c r="BK495" s="29">
        <f>HYPERLINK("[N&amp;P Old retention.xlsx]'Lake P Results'!Q41", 0.15)</f>
        <v>0.15</v>
      </c>
      <c r="BL495" s="13"/>
      <c r="BM495" s="13"/>
      <c r="BN495" s="47">
        <f>BL495-BK495</f>
        <v>-0.15</v>
      </c>
      <c r="BO495" s="47">
        <f>BM495-BK495</f>
        <v>-0.15</v>
      </c>
    </row>
    <row r="496" spans="1:67" x14ac:dyDescent="0.55000000000000004">
      <c r="A496" s="30">
        <v>140</v>
      </c>
      <c r="B496" s="6" t="s">
        <v>359</v>
      </c>
      <c r="C496" s="18"/>
      <c r="D496" s="18"/>
      <c r="E496" s="18"/>
      <c r="F496" s="18"/>
      <c r="G496" s="18"/>
      <c r="H496" s="26">
        <f>HYPERLINK("[N&amp;P Old retention.xlsx]'Lake P Results'!AM42", 1200)</f>
        <v>1200</v>
      </c>
      <c r="I496" s="26">
        <f>HYPERLINK("[N&amp;P New retention.xlsx]'Lake P Results'!AM42", 1200)</f>
        <v>1200</v>
      </c>
      <c r="J496" s="26">
        <f>HYPERLINK("[N&amp;P with New retention and Differentiation.xlsx]'Lake P Results'!AM42", 1200)</f>
        <v>1200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</row>
    <row r="497" spans="1:67" x14ac:dyDescent="0.55000000000000004">
      <c r="A497" s="31">
        <v>141</v>
      </c>
      <c r="B497" s="5" t="s">
        <v>360</v>
      </c>
      <c r="C497" s="29">
        <f>HYPERLINK("[N&amp;P Old retention.xlsx]'Lake P Results'!AE43", 6.22)</f>
        <v>6.22</v>
      </c>
      <c r="D497" s="29">
        <f>HYPERLINK("[N&amp;P New retention.xlsx]'Lake P Results'!AE43", 6.22)</f>
        <v>6.22</v>
      </c>
      <c r="E497" s="29">
        <f>HYPERLINK("[N&amp;P with New retention and Differentiation.xlsx]'Lake P Results'!AE43", 6.22)</f>
        <v>6.22</v>
      </c>
      <c r="F497" s="13"/>
      <c r="G497" s="13"/>
      <c r="H497" s="28">
        <f>HYPERLINK("[N&amp;P Old retention.xlsx]'Lake P Results'!AM43", 102300)</f>
        <v>102300</v>
      </c>
      <c r="I497" s="28">
        <f>HYPERLINK("[N&amp;P New retention.xlsx]'Lake P Results'!AM43", 104200)</f>
        <v>104200</v>
      </c>
      <c r="J497" s="28">
        <f>HYPERLINK("[N&amp;P with New retention and Differentiation.xlsx]'Lake P Results'!AM43", 104400)</f>
        <v>104400</v>
      </c>
      <c r="K497" s="16">
        <f>I497-H497</f>
        <v>1900</v>
      </c>
      <c r="L497" s="16">
        <f>J497-H497</f>
        <v>2100</v>
      </c>
      <c r="M497" s="29">
        <f>HYPERLINK("[N&amp;P Old retention.xlsx]'Lake P Results'!AC43", 2532.652)</f>
        <v>2532.652</v>
      </c>
      <c r="N497" s="29">
        <f>HYPERLINK("[N&amp;P New retention.xlsx]'Lake P Results'!AC43", 2284.22)</f>
        <v>2284.2199999999998</v>
      </c>
      <c r="O497" s="29">
        <f>HYPERLINK("[N&amp;P with New retention and Differentiation.xlsx]'Lake P Results'!AC43", 2210.716)</f>
        <v>2210.7159999999999</v>
      </c>
      <c r="P497" s="47">
        <f>N497-M497</f>
        <v>-248.43200000000024</v>
      </c>
      <c r="Q497" s="47">
        <f>O497-M497</f>
        <v>-321.93600000000015</v>
      </c>
      <c r="R497" s="29">
        <f>HYPERLINK("[N&amp;P Old retention.xlsx]'Lake P Results'!Y43", 717.614)</f>
        <v>717.61400000000003</v>
      </c>
      <c r="S497" s="29">
        <f>HYPERLINK("[N&amp;P New retention.xlsx]'Lake P Results'!Y43", 751.378)</f>
        <v>751.37800000000004</v>
      </c>
      <c r="T497" s="29">
        <f>HYPERLINK("[N&amp;P with New retention and Differentiation.xlsx]'Lake P Results'!Y43", 739.654)</f>
        <v>739.654</v>
      </c>
      <c r="U497" s="46">
        <f>S497-R497</f>
        <v>33.76400000000001</v>
      </c>
      <c r="V497" s="46">
        <f>T497-R497</f>
        <v>22.039999999999964</v>
      </c>
      <c r="W497" s="29">
        <f>HYPERLINK("[N&amp;P Old retention.xlsx]'Lake P Results'!V43", 23.37)</f>
        <v>23.37</v>
      </c>
      <c r="X497" s="29">
        <f>HYPERLINK("[N&amp;P New retention.xlsx]'Lake P Results'!V43", 23.37)</f>
        <v>23.37</v>
      </c>
      <c r="Y497" s="29">
        <f>HYPERLINK("[N&amp;P with New retention and Differentiation.xlsx]'Lake P Results'!V43", 23.37)</f>
        <v>23.37</v>
      </c>
      <c r="Z497" s="13"/>
      <c r="AA497" s="13"/>
      <c r="AB497" s="29">
        <f>HYPERLINK("[N&amp;P Old retention.xlsx]'Lake P Results'!Z43", 935.706)</f>
        <v>935.70600000000002</v>
      </c>
      <c r="AC497" s="29">
        <f>HYPERLINK("[N&amp;P New retention.xlsx]'Lake P Results'!Z43", 1143.34)</f>
        <v>1143.3399999999999</v>
      </c>
      <c r="AD497" s="29">
        <f>HYPERLINK("[N&amp;P with New retention and Differentiation.xlsx]'Lake P Results'!Z43", 1225.908)</f>
        <v>1225.9079999999999</v>
      </c>
      <c r="AE497" s="46">
        <f>AC497-AB497</f>
        <v>207.6339999999999</v>
      </c>
      <c r="AF497" s="46">
        <f>AD497-AB497</f>
        <v>290.20199999999988</v>
      </c>
      <c r="AG497" s="29">
        <f>HYPERLINK("[N&amp;P Old retention.xlsx]'Lake P Results'!AA43", 327.624)</f>
        <v>327.62400000000002</v>
      </c>
      <c r="AH497" s="29">
        <f>HYPERLINK("[N&amp;P New retention.xlsx]'Lake P Results'!AA43", 329.154)</f>
        <v>329.154</v>
      </c>
      <c r="AI497" s="29">
        <f>HYPERLINK("[N&amp;P with New retention and Differentiation.xlsx]'Lake P Results'!AA43", 329.154)</f>
        <v>329.154</v>
      </c>
      <c r="AJ497" s="46">
        <f>AH497-AG497</f>
        <v>1.5299999999999727</v>
      </c>
      <c r="AK497" s="46">
        <f>AI497-AG497</f>
        <v>1.5299999999999727</v>
      </c>
      <c r="AL497" s="29">
        <f>HYPERLINK("[N&amp;P Old retention.xlsx]'Lake P Results'!AF43", 0.15)</f>
        <v>0.15</v>
      </c>
      <c r="AM497" s="29">
        <f>HYPERLINK("[N&amp;P New retention.xlsx]'Lake P Results'!AF43", 0.15)</f>
        <v>0.15</v>
      </c>
      <c r="AN497" s="29">
        <f>HYPERLINK("[N&amp;P with New retention and Differentiation.xlsx]'Lake P Results'!AF43", 0.15)</f>
        <v>0.15</v>
      </c>
      <c r="AO497" s="13"/>
      <c r="AP497" s="13"/>
      <c r="AQ497" s="28">
        <f>HYPERLINK("[N&amp;P Old retention.xlsx]'Lake P Results'!AH43", 6800)</f>
        <v>6800</v>
      </c>
      <c r="AR497" s="28">
        <f>HYPERLINK("[N&amp;P New retention.xlsx]'Lake P Results'!AH43", 6799.99999999998)</f>
        <v>6799.99999999998</v>
      </c>
      <c r="AS497" s="28">
        <f>HYPERLINK("[N&amp;P with New retention and Differentiation.xlsx]'Lake P Results'!AH43", 6800)</f>
        <v>6800</v>
      </c>
      <c r="AT497" s="21">
        <f>AR497-AQ497</f>
        <v>-2.0008883439004421E-11</v>
      </c>
      <c r="AU497" s="13"/>
      <c r="AV497" s="29">
        <f>HYPERLINK("[N&amp;P Old retention.xlsx]'Lake P Results'!M43", 241.348)</f>
        <v>241.34800000000001</v>
      </c>
      <c r="AW497" s="29">
        <f>HYPERLINK("[N&amp;P New retention.xlsx]'Lake P Results'!M43", 287.268)</f>
        <v>287.26799999999997</v>
      </c>
      <c r="AX497" s="29">
        <f>HYPERLINK("[N&amp;P with New retention and Differentiation.xlsx]'Lake P Results'!M43", 287.268)</f>
        <v>287.26799999999997</v>
      </c>
      <c r="AY497" s="46">
        <f>AW497-AV497</f>
        <v>45.919999999999959</v>
      </c>
      <c r="AZ497" s="46">
        <f>AX497-AV497</f>
        <v>45.919999999999959</v>
      </c>
      <c r="BA497" s="29">
        <f>HYPERLINK("[N&amp;P Old retention.xlsx]'Lake P Results'!O43", 34.062)</f>
        <v>34.061999999999998</v>
      </c>
      <c r="BB497" s="29">
        <f>HYPERLINK("[N&amp;P New retention.xlsx]'Lake P Results'!O43", 34.174)</f>
        <v>34.173999999999999</v>
      </c>
      <c r="BC497" s="29">
        <f>HYPERLINK("[N&amp;P with New retention and Differentiation.xlsx]'Lake P Results'!O43", 34.174)</f>
        <v>34.173999999999999</v>
      </c>
      <c r="BD497" s="46">
        <f>BB497-BA497</f>
        <v>0.11200000000000188</v>
      </c>
      <c r="BE497" s="46">
        <f>BC497-BA497</f>
        <v>0.11200000000000188</v>
      </c>
      <c r="BF497" s="29">
        <f>HYPERLINK("[N&amp;P Old retention.xlsx]'Lake P Results'!R43", 8.33)</f>
        <v>8.33</v>
      </c>
      <c r="BG497" s="29">
        <f>HYPERLINK("[N&amp;P New retention.xlsx]'Lake P Results'!R43", 10.04)</f>
        <v>10.039999999999999</v>
      </c>
      <c r="BH497" s="29">
        <f>HYPERLINK("[N&amp;P with New retention and Differentiation.xlsx]'Lake P Results'!R43", 10.04)</f>
        <v>10.039999999999999</v>
      </c>
      <c r="BI497" s="46">
        <f>BG497-BF497</f>
        <v>1.7099999999999991</v>
      </c>
      <c r="BJ497" s="46">
        <f>BH497-BF497</f>
        <v>1.7099999999999991</v>
      </c>
      <c r="BK497" s="29">
        <f>HYPERLINK("[N&amp;P Old retention.xlsx]'Lake P Results'!Q43", 1.006)</f>
        <v>1.006</v>
      </c>
      <c r="BL497" s="29">
        <f>HYPERLINK("[N&amp;P New retention.xlsx]'Lake P Results'!Q43", 1.316)</f>
        <v>1.3160000000000001</v>
      </c>
      <c r="BM497" s="29">
        <f>HYPERLINK("[N&amp;P with New retention and Differentiation.xlsx]'Lake P Results'!Q43", 1.316)</f>
        <v>1.3160000000000001</v>
      </c>
      <c r="BN497" s="46">
        <f>BL497-BK497</f>
        <v>0.31000000000000005</v>
      </c>
      <c r="BO497" s="46">
        <f>BM497-BK497</f>
        <v>0.31000000000000005</v>
      </c>
    </row>
    <row r="498" spans="1:67" x14ac:dyDescent="0.55000000000000004">
      <c r="A498" s="30">
        <v>143</v>
      </c>
      <c r="B498" s="6" t="s">
        <v>361</v>
      </c>
      <c r="C498" s="27">
        <f>HYPERLINK("[N&amp;P Old retention.xlsx]'Lake P Results'!AE44", 0.953999999999999)</f>
        <v>0.95399999999999896</v>
      </c>
      <c r="D498" s="27">
        <f>HYPERLINK("[N&amp;P New retention.xlsx]'Lake P Results'!AE44", 0.953999999999999)</f>
        <v>0.95399999999999896</v>
      </c>
      <c r="E498" s="27">
        <f>HYPERLINK("[N&amp;P with New retention and Differentiation.xlsx]'Lake P Results'!AE44", 0.953999999999999)</f>
        <v>0.95399999999999896</v>
      </c>
      <c r="F498" s="18"/>
      <c r="G498" s="18"/>
      <c r="H498" s="26">
        <f>HYPERLINK("[N&amp;P Old retention.xlsx]'Lake P Results'!AM44", 3900)</f>
        <v>3900</v>
      </c>
      <c r="I498" s="26">
        <f>HYPERLINK("[N&amp;P New retention.xlsx]'Lake P Results'!AM44", 3900)</f>
        <v>3900</v>
      </c>
      <c r="J498" s="26">
        <f>HYPERLINK("[N&amp;P with New retention and Differentiation.xlsx]'Lake P Results'!AM44", 3900)</f>
        <v>3900</v>
      </c>
      <c r="K498" s="18"/>
      <c r="L498" s="18"/>
      <c r="M498" s="27">
        <f>HYPERLINK("[N&amp;P Old retention.xlsx]'Lake P Results'!AC44", 72.280000000001)</f>
        <v>72.280000000000996</v>
      </c>
      <c r="N498" s="27">
        <f>HYPERLINK("[N&amp;P New retention.xlsx]'Lake P Results'!AC44", 146.87)</f>
        <v>146.87</v>
      </c>
      <c r="O498" s="27">
        <f>HYPERLINK("[N&amp;P with New retention and Differentiation.xlsx]'Lake P Results'!AC44", 162.91)</f>
        <v>162.91</v>
      </c>
      <c r="P498" s="46">
        <f>N498-M498</f>
        <v>74.589999999999009</v>
      </c>
      <c r="Q498" s="46">
        <f>O498-M498</f>
        <v>90.629999999999001</v>
      </c>
      <c r="R498" s="27">
        <f>HYPERLINK("[N&amp;P Old retention.xlsx]'Lake P Results'!Y44", 12.98)</f>
        <v>12.98</v>
      </c>
      <c r="S498" s="27">
        <f>HYPERLINK("[N&amp;P New retention.xlsx]'Lake P Results'!Y44", 12.98)</f>
        <v>12.98</v>
      </c>
      <c r="T498" s="18"/>
      <c r="U498" s="18"/>
      <c r="V498" s="47">
        <f>T498-R498</f>
        <v>-12.98</v>
      </c>
      <c r="W498" s="18"/>
      <c r="X498" s="18"/>
      <c r="Y498" s="18"/>
      <c r="Z498" s="18"/>
      <c r="AA498" s="18"/>
      <c r="AB498" s="27">
        <f>HYPERLINK("[N&amp;P Old retention.xlsx]'Lake P Results'!Z44", 67.318)</f>
        <v>67.317999999999998</v>
      </c>
      <c r="AC498" s="27">
        <f>HYPERLINK("[N&amp;P New retention.xlsx]'Lake P Results'!Z44", 101.228)</f>
        <v>101.22799999999999</v>
      </c>
      <c r="AD498" s="27">
        <f>HYPERLINK("[N&amp;P with New retention and Differentiation.xlsx]'Lake P Results'!Z44", 99.578)</f>
        <v>99.578000000000003</v>
      </c>
      <c r="AE498" s="46">
        <f>AC498-AB498</f>
        <v>33.909999999999997</v>
      </c>
      <c r="AF498" s="46">
        <f>AD498-AB498</f>
        <v>32.260000000000005</v>
      </c>
      <c r="AG498" s="27">
        <f>HYPERLINK("[N&amp;P Old retention.xlsx]'Lake P Results'!AA44", 32.48)</f>
        <v>32.479999999999997</v>
      </c>
      <c r="AH498" s="27">
        <f>HYPERLINK("[N&amp;P New retention.xlsx]'Lake P Results'!AA44", 84.46)</f>
        <v>84.46</v>
      </c>
      <c r="AI498" s="27">
        <f>HYPERLINK("[N&amp;P with New retention and Differentiation.xlsx]'Lake P Results'!AA44", 85.54)</f>
        <v>85.54</v>
      </c>
      <c r="AJ498" s="46">
        <f>AH498-AG498</f>
        <v>51.98</v>
      </c>
      <c r="AK498" s="46">
        <f>AI498-AG498</f>
        <v>53.060000000000009</v>
      </c>
      <c r="AL498" s="18"/>
      <c r="AM498" s="18"/>
      <c r="AN498" s="18"/>
      <c r="AO498" s="18"/>
      <c r="AP498" s="18"/>
      <c r="AQ498" s="26">
        <f>HYPERLINK("[N&amp;P Old retention.xlsx]'Lake P Results'!AH44", 700)</f>
        <v>700</v>
      </c>
      <c r="AR498" s="26">
        <f>HYPERLINK("[N&amp;P New retention.xlsx]'Lake P Results'!AH44", 700)</f>
        <v>700</v>
      </c>
      <c r="AS498" s="26">
        <f>HYPERLINK("[N&amp;P with New retention and Differentiation.xlsx]'Lake P Results'!AH44", 700)</f>
        <v>700</v>
      </c>
      <c r="AT498" s="18"/>
      <c r="AU498" s="18"/>
      <c r="AV498" s="27">
        <f>HYPERLINK("[N&amp;P Old retention.xlsx]'Lake P Results'!M44", 101.77)</f>
        <v>101.77</v>
      </c>
      <c r="AW498" s="27">
        <f>HYPERLINK("[N&amp;P New retention.xlsx]'Lake P Results'!M44", 38.2)</f>
        <v>38.200000000000003</v>
      </c>
      <c r="AX498" s="27">
        <f>HYPERLINK("[N&amp;P with New retention and Differentiation.xlsx]'Lake P Results'!M44", 38.2)</f>
        <v>38.200000000000003</v>
      </c>
      <c r="AY498" s="47">
        <f>AW498-AV498</f>
        <v>-63.569999999999993</v>
      </c>
      <c r="AZ498" s="47">
        <f>AX498-AV498</f>
        <v>-63.569999999999993</v>
      </c>
      <c r="BA498" s="18"/>
      <c r="BB498" s="27">
        <f>HYPERLINK("[N&amp;P New retention.xlsx]'Lake P Results'!O44", 2.49)</f>
        <v>2.4900000000000002</v>
      </c>
      <c r="BC498" s="18"/>
      <c r="BD498" s="46">
        <f>BB498-BA498</f>
        <v>2.4900000000000002</v>
      </c>
      <c r="BE498" s="18"/>
      <c r="BF498" s="27">
        <f>HYPERLINK("[N&amp;P Old retention.xlsx]'Lake P Results'!R44", 1.06)</f>
        <v>1.06</v>
      </c>
      <c r="BG498" s="27">
        <f>HYPERLINK("[N&amp;P New retention.xlsx]'Lake P Results'!R44", 1.26)</f>
        <v>1.26</v>
      </c>
      <c r="BH498" s="27">
        <f>HYPERLINK("[N&amp;P with New retention and Differentiation.xlsx]'Lake P Results'!R44", 1.26)</f>
        <v>1.26</v>
      </c>
      <c r="BI498" s="46">
        <f>BG498-BF498</f>
        <v>0.19999999999999996</v>
      </c>
      <c r="BJ498" s="46">
        <f>BH498-BF498</f>
        <v>0.19999999999999996</v>
      </c>
      <c r="BK498" s="18"/>
      <c r="BL498" s="18"/>
      <c r="BM498" s="18"/>
      <c r="BN498" s="18"/>
      <c r="BO498" s="18"/>
    </row>
    <row r="499" spans="1:67" x14ac:dyDescent="0.55000000000000004">
      <c r="A499" s="31">
        <v>146</v>
      </c>
      <c r="B499" s="5" t="s">
        <v>362</v>
      </c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</row>
    <row r="500" spans="1:67" x14ac:dyDescent="0.55000000000000004">
      <c r="A500" s="30">
        <v>147</v>
      </c>
      <c r="B500" s="6" t="s">
        <v>363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27">
        <f>HYPERLINK("[N&amp;P Old retention.xlsx]'Lake P Results'!M46", 98.262)</f>
        <v>98.262</v>
      </c>
      <c r="AW500" s="27">
        <f>HYPERLINK("[N&amp;P New retention.xlsx]'Lake P Results'!M46", 87.762)</f>
        <v>87.762</v>
      </c>
      <c r="AX500" s="27">
        <f>HYPERLINK("[N&amp;P with New retention and Differentiation.xlsx]'Lake P Results'!M46", 87.762)</f>
        <v>87.762</v>
      </c>
      <c r="AY500" s="47">
        <f>AW500-AV500</f>
        <v>-10.5</v>
      </c>
      <c r="AZ500" s="47">
        <f>AX500-AV500</f>
        <v>-10.5</v>
      </c>
      <c r="BA500" s="27">
        <f>HYPERLINK("[N&amp;P Old retention.xlsx]'Lake P Results'!O46", 16.02)</f>
        <v>16.02</v>
      </c>
      <c r="BB500" s="27">
        <f>HYPERLINK("[N&amp;P New retention.xlsx]'Lake P Results'!O46", 3.74)</f>
        <v>3.74</v>
      </c>
      <c r="BC500" s="27">
        <f>HYPERLINK("[N&amp;P with New retention and Differentiation.xlsx]'Lake P Results'!O46", 3.74)</f>
        <v>3.74</v>
      </c>
      <c r="BD500" s="47">
        <f>BB500-BA500</f>
        <v>-12.28</v>
      </c>
      <c r="BE500" s="47">
        <f>BC500-BA500</f>
        <v>-12.28</v>
      </c>
      <c r="BF500" s="27">
        <f>HYPERLINK("[N&amp;P Old retention.xlsx]'Lake P Results'!R46", 10.776)</f>
        <v>10.776</v>
      </c>
      <c r="BG500" s="27">
        <f>HYPERLINK("[N&amp;P New retention.xlsx]'Lake P Results'!R46", 10.776)</f>
        <v>10.776</v>
      </c>
      <c r="BH500" s="27">
        <f>HYPERLINK("[N&amp;P with New retention and Differentiation.xlsx]'Lake P Results'!R46", 10.776)</f>
        <v>10.776</v>
      </c>
      <c r="BI500" s="18"/>
      <c r="BJ500" s="18"/>
      <c r="BK500" s="27">
        <f>HYPERLINK("[N&amp;P Old retention.xlsx]'Lake P Results'!Q46", 28.54)</f>
        <v>28.54</v>
      </c>
      <c r="BL500" s="27">
        <f>HYPERLINK("[N&amp;P New retention.xlsx]'Lake P Results'!Q46", 29.24)</f>
        <v>29.24</v>
      </c>
      <c r="BM500" s="27">
        <f>HYPERLINK("[N&amp;P with New retention and Differentiation.xlsx]'Lake P Results'!Q46", 29.24)</f>
        <v>29.24</v>
      </c>
      <c r="BN500" s="46">
        <f>BL500-BK500</f>
        <v>0.69999999999999929</v>
      </c>
      <c r="BO500" s="46">
        <f>BM500-BK500</f>
        <v>0.69999999999999929</v>
      </c>
    </row>
    <row r="501" spans="1:67" x14ac:dyDescent="0.55000000000000004">
      <c r="A501" s="31">
        <v>148</v>
      </c>
      <c r="B501" s="5" t="s">
        <v>364</v>
      </c>
      <c r="C501" s="29">
        <f>HYPERLINK("[N&amp;P Old retention.xlsx]'Lake P Results'!AE47", 8.45000000000001)</f>
        <v>8.4500000000000099</v>
      </c>
      <c r="D501" s="29">
        <f>HYPERLINK("[N&amp;P New retention.xlsx]'Lake P Results'!AE47", 8.45000000000001)</f>
        <v>8.4500000000000099</v>
      </c>
      <c r="E501" s="29">
        <f>HYPERLINK("[N&amp;P with New retention and Differentiation.xlsx]'Lake P Results'!AE47", 8.45000000000001)</f>
        <v>8.4500000000000099</v>
      </c>
      <c r="F501" s="13"/>
      <c r="G501" s="13"/>
      <c r="H501" s="28">
        <f>HYPERLINK("[N&amp;P Old retention.xlsx]'Lake P Results'!AM47", 8500)</f>
        <v>8500</v>
      </c>
      <c r="I501" s="28">
        <f>HYPERLINK("[N&amp;P New retention.xlsx]'Lake P Results'!AM47", 8500)</f>
        <v>8500</v>
      </c>
      <c r="J501" s="28">
        <f>HYPERLINK("[N&amp;P with New retention and Differentiation.xlsx]'Lake P Results'!AM47", 8500)</f>
        <v>8500</v>
      </c>
      <c r="K501" s="13"/>
      <c r="L501" s="13"/>
      <c r="M501" s="13"/>
      <c r="N501" s="29">
        <f>HYPERLINK("[N&amp;P New retention.xlsx]'Lake P Results'!AC47", 0.408)</f>
        <v>0.40799999999999997</v>
      </c>
      <c r="O501" s="29">
        <f>HYPERLINK("[N&amp;P with New retention and Differentiation.xlsx]'Lake P Results'!AC47", 0.408)</f>
        <v>0.40799999999999997</v>
      </c>
      <c r="P501" s="46">
        <f>N501-M501</f>
        <v>0.40799999999999997</v>
      </c>
      <c r="Q501" s="46">
        <f>O501-M501</f>
        <v>0.40799999999999997</v>
      </c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29">
        <f>HYPERLINK("[N&amp;P Old retention.xlsx]'Lake P Results'!Z47", 0.408)</f>
        <v>0.40799999999999997</v>
      </c>
      <c r="AC501" s="13"/>
      <c r="AD501" s="13"/>
      <c r="AE501" s="47">
        <f>AC501-AB501</f>
        <v>-0.40799999999999997</v>
      </c>
      <c r="AF501" s="47">
        <f>AD501-AB501</f>
        <v>-0.40799999999999997</v>
      </c>
      <c r="AG501" s="29">
        <f>HYPERLINK("[N&amp;P Old retention.xlsx]'Lake P Results'!AA47", 1.18)</f>
        <v>1.18</v>
      </c>
      <c r="AH501" s="29">
        <f>HYPERLINK("[N&amp;P New retention.xlsx]'Lake P Results'!AA47", 1.18)</f>
        <v>1.18</v>
      </c>
      <c r="AI501" s="29">
        <f>HYPERLINK("[N&amp;P with New retention and Differentiation.xlsx]'Lake P Results'!AA47", 1.18)</f>
        <v>1.18</v>
      </c>
      <c r="AJ501" s="13"/>
      <c r="AK501" s="13"/>
      <c r="AL501" s="13"/>
      <c r="AM501" s="13"/>
      <c r="AN501" s="13"/>
      <c r="AO501" s="13"/>
      <c r="AP501" s="13"/>
      <c r="AQ501" s="28">
        <f>HYPERLINK("[N&amp;P Old retention.xlsx]'Lake P Results'!AH47", 50)</f>
        <v>50</v>
      </c>
      <c r="AR501" s="28">
        <f>HYPERLINK("[N&amp;P New retention.xlsx]'Lake P Results'!AH47", 50)</f>
        <v>50</v>
      </c>
      <c r="AS501" s="28">
        <f>HYPERLINK("[N&amp;P with New retention and Differentiation.xlsx]'Lake P Results'!AH47", 50)</f>
        <v>50</v>
      </c>
      <c r="AT501" s="13"/>
      <c r="AU501" s="13"/>
      <c r="AV501" s="29">
        <f>HYPERLINK("[N&amp;P Old retention.xlsx]'Lake P Results'!M47", 55.68)</f>
        <v>55.68</v>
      </c>
      <c r="AW501" s="29">
        <f>HYPERLINK("[N&amp;P New retention.xlsx]'Lake P Results'!M47", 51.4)</f>
        <v>51.4</v>
      </c>
      <c r="AX501" s="29">
        <f>HYPERLINK("[N&amp;P with New retention and Differentiation.xlsx]'Lake P Results'!M47", 53.94)</f>
        <v>53.94</v>
      </c>
      <c r="AY501" s="47">
        <f>AW501-AV501</f>
        <v>-4.2800000000000011</v>
      </c>
      <c r="AZ501" s="47">
        <f>AX501-AV501</f>
        <v>-1.740000000000002</v>
      </c>
      <c r="BA501" s="29">
        <f>HYPERLINK("[N&amp;P Old retention.xlsx]'Lake P Results'!O47", 8.09)</f>
        <v>8.09</v>
      </c>
      <c r="BB501" s="29">
        <f>HYPERLINK("[N&amp;P New retention.xlsx]'Lake P Results'!O47", 8.09)</f>
        <v>8.09</v>
      </c>
      <c r="BC501" s="29">
        <f>HYPERLINK("[N&amp;P with New retention and Differentiation.xlsx]'Lake P Results'!O47", 5.55)</f>
        <v>5.55</v>
      </c>
      <c r="BD501" s="13"/>
      <c r="BE501" s="47">
        <f>BC501-BA501</f>
        <v>-2.54</v>
      </c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</row>
    <row r="502" spans="1:67" x14ac:dyDescent="0.55000000000000004">
      <c r="A502" s="30">
        <v>149</v>
      </c>
      <c r="B502" s="6" t="s">
        <v>365</v>
      </c>
      <c r="C502" s="27">
        <f>HYPERLINK("[N&amp;P Old retention.xlsx]'Lake P Results'!AE48", 13.8)</f>
        <v>13.8</v>
      </c>
      <c r="D502" s="27">
        <f>HYPERLINK("[N&amp;P New retention.xlsx]'Lake P Results'!AE48", 13.8)</f>
        <v>13.8</v>
      </c>
      <c r="E502" s="27">
        <f>HYPERLINK("[N&amp;P with New retention and Differentiation.xlsx]'Lake P Results'!AE48", 13.8)</f>
        <v>13.8</v>
      </c>
      <c r="F502" s="18"/>
      <c r="G502" s="18"/>
      <c r="H502" s="26">
        <f>HYPERLINK("[N&amp;P Old retention.xlsx]'Lake P Results'!AM48", 50600)</f>
        <v>50600</v>
      </c>
      <c r="I502" s="26">
        <f>HYPERLINK("[N&amp;P New retention.xlsx]'Lake P Results'!AM48", 50600)</f>
        <v>50600</v>
      </c>
      <c r="J502" s="26">
        <f>HYPERLINK("[N&amp;P with New retention and Differentiation.xlsx]'Lake P Results'!AM48", 50600)</f>
        <v>50600</v>
      </c>
      <c r="K502" s="18"/>
      <c r="L502" s="18"/>
      <c r="M502" s="27">
        <f>HYPERLINK("[N&amp;P Old retention.xlsx]'Lake P Results'!AC48", 38.94)</f>
        <v>38.94</v>
      </c>
      <c r="N502" s="27">
        <f>HYPERLINK("[N&amp;P New retention.xlsx]'Lake P Results'!AC48", 53.26)</f>
        <v>53.26</v>
      </c>
      <c r="O502" s="27">
        <f>HYPERLINK("[N&amp;P with New retention and Differentiation.xlsx]'Lake P Results'!AC48", 22.41)</f>
        <v>22.41</v>
      </c>
      <c r="P502" s="46">
        <f>N502-M502</f>
        <v>14.32</v>
      </c>
      <c r="Q502" s="47">
        <f>O502-M502</f>
        <v>-16.529999999999998</v>
      </c>
      <c r="R502" s="27">
        <f>HYPERLINK("[N&amp;P Old retention.xlsx]'Lake P Results'!Y48", 10.09)</f>
        <v>10.09</v>
      </c>
      <c r="S502" s="27">
        <f>HYPERLINK("[N&amp;P New retention.xlsx]'Lake P Results'!Y48", 28.1)</f>
        <v>28.1</v>
      </c>
      <c r="T502" s="27">
        <f>HYPERLINK("[N&amp;P with New retention and Differentiation.xlsx]'Lake P Results'!Y48", 20.01)</f>
        <v>20.010000000000002</v>
      </c>
      <c r="U502" s="46">
        <f>S502-R502</f>
        <v>18.010000000000002</v>
      </c>
      <c r="V502" s="46">
        <f>T502-R502</f>
        <v>9.9200000000000017</v>
      </c>
      <c r="W502" s="27">
        <f>HYPERLINK("[N&amp;P Old retention.xlsx]'Lake P Results'!V48", 35.48)</f>
        <v>35.479999999999997</v>
      </c>
      <c r="X502" s="27">
        <f>HYPERLINK("[N&amp;P New retention.xlsx]'Lake P Results'!V48", 35.48)</f>
        <v>35.479999999999997</v>
      </c>
      <c r="Y502" s="27">
        <f>HYPERLINK("[N&amp;P with New retention and Differentiation.xlsx]'Lake P Results'!V48", 35.48)</f>
        <v>35.479999999999997</v>
      </c>
      <c r="Z502" s="18"/>
      <c r="AA502" s="18"/>
      <c r="AB502" s="27">
        <f>HYPERLINK("[N&amp;P Old retention.xlsx]'Lake P Results'!Z48", 45.52)</f>
        <v>45.52</v>
      </c>
      <c r="AC502" s="27">
        <f>HYPERLINK("[N&amp;P New retention.xlsx]'Lake P Results'!Z48", 13.19)</f>
        <v>13.19</v>
      </c>
      <c r="AD502" s="27">
        <f>HYPERLINK("[N&amp;P with New retention and Differentiation.xlsx]'Lake P Results'!Z48", 52.13)</f>
        <v>52.13</v>
      </c>
      <c r="AE502" s="47">
        <f>AC502-AB502</f>
        <v>-32.330000000000005</v>
      </c>
      <c r="AF502" s="46">
        <f>AD502-AB502</f>
        <v>6.6099999999999994</v>
      </c>
      <c r="AG502" s="27">
        <f>HYPERLINK("[N&amp;P Old retention.xlsx]'Lake P Results'!AA48", 3.18)</f>
        <v>3.18</v>
      </c>
      <c r="AH502" s="27">
        <f>HYPERLINK("[N&amp;P New retention.xlsx]'Lake P Results'!AA48", 3.18)</f>
        <v>3.18</v>
      </c>
      <c r="AI502" s="27">
        <f>HYPERLINK("[N&amp;P with New retention and Differentiation.xlsx]'Lake P Results'!AA48", 3.18)</f>
        <v>3.18</v>
      </c>
      <c r="AJ502" s="18"/>
      <c r="AK502" s="18"/>
      <c r="AL502" s="27">
        <f>HYPERLINK("[N&amp;P Old retention.xlsx]'Lake P Results'!AF48", 0.22)</f>
        <v>0.22</v>
      </c>
      <c r="AM502" s="27">
        <f>HYPERLINK("[N&amp;P New retention.xlsx]'Lake P Results'!AF48", 0.22)</f>
        <v>0.22</v>
      </c>
      <c r="AN502" s="27">
        <f>HYPERLINK("[N&amp;P with New retention and Differentiation.xlsx]'Lake P Results'!AF48", 0.22)</f>
        <v>0.22</v>
      </c>
      <c r="AO502" s="18"/>
      <c r="AP502" s="18"/>
      <c r="AQ502" s="26">
        <f>HYPERLINK("[N&amp;P Old retention.xlsx]'Lake P Results'!AH48", 2179.99999999981)</f>
        <v>2179.9999999998099</v>
      </c>
      <c r="AR502" s="26">
        <f>HYPERLINK("[N&amp;P New retention.xlsx]'Lake P Results'!AH48", 2179.99999999981)</f>
        <v>2179.9999999998099</v>
      </c>
      <c r="AS502" s="26">
        <f>HYPERLINK("[N&amp;P with New retention and Differentiation.xlsx]'Lake P Results'!AH48", 2179.99999999981)</f>
        <v>2179.9999999998099</v>
      </c>
      <c r="AT502" s="18"/>
      <c r="AU502" s="18"/>
      <c r="AV502" s="27">
        <f>HYPERLINK("[N&amp;P Old retention.xlsx]'Lake P Results'!M48", 292.62)</f>
        <v>292.62</v>
      </c>
      <c r="AW502" s="27">
        <f>HYPERLINK("[N&amp;P New retention.xlsx]'Lake P Results'!M48", 1252.16)</f>
        <v>1252.1600000000001</v>
      </c>
      <c r="AX502" s="27">
        <f>HYPERLINK("[N&amp;P with New retention and Differentiation.xlsx]'Lake P Results'!M48", 1918.21)</f>
        <v>1918.21</v>
      </c>
      <c r="AY502" s="46">
        <f>AW502-AV502</f>
        <v>959.54000000000008</v>
      </c>
      <c r="AZ502" s="46">
        <f>AX502-AV502</f>
        <v>1625.5900000000001</v>
      </c>
      <c r="BA502" s="27">
        <f>HYPERLINK("[N&amp;P Old retention.xlsx]'Lake P Results'!O48", 2416.05)</f>
        <v>2416.0500000000002</v>
      </c>
      <c r="BB502" s="27">
        <f>HYPERLINK("[N&amp;P New retention.xlsx]'Lake P Results'!O48", 1446.32)</f>
        <v>1446.32</v>
      </c>
      <c r="BC502" s="27">
        <f>HYPERLINK("[N&amp;P with New retention and Differentiation.xlsx]'Lake P Results'!O48", 780.27)</f>
        <v>780.27</v>
      </c>
      <c r="BD502" s="47">
        <f>BB502-BA502</f>
        <v>-969.73000000000025</v>
      </c>
      <c r="BE502" s="47">
        <f>BC502-BA502</f>
        <v>-1635.7800000000002</v>
      </c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</row>
    <row r="503" spans="1:67" x14ac:dyDescent="0.55000000000000004">
      <c r="A503" s="31">
        <v>156</v>
      </c>
      <c r="B503" s="5" t="s">
        <v>366</v>
      </c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</row>
    <row r="504" spans="1:67" x14ac:dyDescent="0.55000000000000004">
      <c r="A504" s="30">
        <v>157</v>
      </c>
      <c r="B504" s="6" t="s">
        <v>367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</row>
    <row r="505" spans="1:67" x14ac:dyDescent="0.55000000000000004">
      <c r="A505" s="31">
        <v>159</v>
      </c>
      <c r="B505" s="5" t="s">
        <v>368</v>
      </c>
      <c r="C505" s="13"/>
      <c r="D505" s="13"/>
      <c r="E505" s="13"/>
      <c r="F505" s="13"/>
      <c r="G505" s="13"/>
      <c r="H505" s="28">
        <f>HYPERLINK("[N&amp;P Old retention.xlsx]'Lake P Results'!AM51", 500)</f>
        <v>500</v>
      </c>
      <c r="I505" s="28">
        <f>HYPERLINK("[N&amp;P New retention.xlsx]'Lake P Results'!AM51", 500)</f>
        <v>500</v>
      </c>
      <c r="J505" s="28">
        <f>HYPERLINK("[N&amp;P with New retention and Differentiation.xlsx]'Lake P Results'!AM51", 500)</f>
        <v>500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29">
        <f>HYPERLINK("[N&amp;P Old retention.xlsx]'Lake P Results'!M51", 19.71)</f>
        <v>19.71</v>
      </c>
      <c r="AW505" s="29">
        <f>HYPERLINK("[N&amp;P New retention.xlsx]'Lake P Results'!M51", 19.71)</f>
        <v>19.71</v>
      </c>
      <c r="AX505" s="29">
        <f>HYPERLINK("[N&amp;P with New retention and Differentiation.xlsx]'Lake P Results'!M51", 19.71)</f>
        <v>19.71</v>
      </c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</row>
    <row r="506" spans="1:67" x14ac:dyDescent="0.55000000000000004">
      <c r="A506" s="30">
        <v>166</v>
      </c>
      <c r="B506" s="6" t="s">
        <v>369</v>
      </c>
      <c r="C506" s="27">
        <f>HYPERLINK("[N&amp;P Old retention.xlsx]'Lake P Results'!AE52", 7.49000000000001)</f>
        <v>7.49000000000001</v>
      </c>
      <c r="D506" s="27">
        <f>HYPERLINK("[N&amp;P New retention.xlsx]'Lake P Results'!AE52", 7.49000000000001)</f>
        <v>7.49000000000001</v>
      </c>
      <c r="E506" s="27">
        <f>HYPERLINK("[N&amp;P with New retention and Differentiation.xlsx]'Lake P Results'!AE52", 7.49000000000001)</f>
        <v>7.49000000000001</v>
      </c>
      <c r="F506" s="18"/>
      <c r="G506" s="18"/>
      <c r="H506" s="26">
        <f>HYPERLINK("[N&amp;P Old retention.xlsx]'Lake P Results'!AM52", 17900)</f>
        <v>17900</v>
      </c>
      <c r="I506" s="26">
        <f>HYPERLINK("[N&amp;P New retention.xlsx]'Lake P Results'!AM52", 17700)</f>
        <v>17700</v>
      </c>
      <c r="J506" s="26">
        <f>HYPERLINK("[N&amp;P with New retention and Differentiation.xlsx]'Lake P Results'!AM52", 17600)</f>
        <v>17600</v>
      </c>
      <c r="K506" s="21">
        <f>I506-H506</f>
        <v>-200</v>
      </c>
      <c r="L506" s="21">
        <f>J506-H506</f>
        <v>-300</v>
      </c>
      <c r="M506" s="27">
        <f>HYPERLINK("[N&amp;P Old retention.xlsx]'Lake P Results'!AC52", 48.2)</f>
        <v>48.2</v>
      </c>
      <c r="N506" s="27">
        <f>HYPERLINK("[N&amp;P New retention.xlsx]'Lake P Results'!AC52", 25.78)</f>
        <v>25.78</v>
      </c>
      <c r="O506" s="27">
        <f>HYPERLINK("[N&amp;P with New retention and Differentiation.xlsx]'Lake P Results'!AC52", 49.81)</f>
        <v>49.81</v>
      </c>
      <c r="P506" s="47">
        <f>N506-M506</f>
        <v>-22.42</v>
      </c>
      <c r="Q506" s="46">
        <f>O506-M506</f>
        <v>1.6099999999999994</v>
      </c>
      <c r="R506" s="27">
        <f>HYPERLINK("[N&amp;P Old retention.xlsx]'Lake P Results'!Y52", 3.06)</f>
        <v>3.06</v>
      </c>
      <c r="S506" s="27">
        <f>HYPERLINK("[N&amp;P New retention.xlsx]'Lake P Results'!Y52", 25)</f>
        <v>25</v>
      </c>
      <c r="T506" s="27">
        <f>HYPERLINK("[N&amp;P with New retention and Differentiation.xlsx]'Lake P Results'!Y52", 4.03)</f>
        <v>4.03</v>
      </c>
      <c r="U506" s="46">
        <f>S506-R506</f>
        <v>21.94</v>
      </c>
      <c r="V506" s="46">
        <f>T506-R506</f>
        <v>0.9700000000000002</v>
      </c>
      <c r="W506" s="27">
        <f>HYPERLINK("[N&amp;P Old retention.xlsx]'Lake P Results'!V52", 7.72)</f>
        <v>7.72</v>
      </c>
      <c r="X506" s="18"/>
      <c r="Y506" s="18"/>
      <c r="Z506" s="47">
        <f>X506-W506</f>
        <v>-7.72</v>
      </c>
      <c r="AA506" s="47">
        <f>Y506-W506</f>
        <v>-7.72</v>
      </c>
      <c r="AB506" s="27">
        <f>HYPERLINK("[N&amp;P Old retention.xlsx]'Lake P Results'!Z52", 104.524)</f>
        <v>104.524</v>
      </c>
      <c r="AC506" s="27">
        <f>HYPERLINK("[N&amp;P New retention.xlsx]'Lake P Results'!Z52", 44.96)</f>
        <v>44.96</v>
      </c>
      <c r="AD506" s="27">
        <f>HYPERLINK("[N&amp;P with New retention and Differentiation.xlsx]'Lake P Results'!Z52", 45.81)</f>
        <v>45.81</v>
      </c>
      <c r="AE506" s="47">
        <f>AC506-AB506</f>
        <v>-59.564</v>
      </c>
      <c r="AF506" s="47">
        <f>AD506-AB506</f>
        <v>-58.713999999999999</v>
      </c>
      <c r="AG506" s="27">
        <f>HYPERLINK("[N&amp;P Old retention.xlsx]'Lake P Results'!AA52", 18.16)</f>
        <v>18.16</v>
      </c>
      <c r="AH506" s="27">
        <f>HYPERLINK("[N&amp;P New retention.xlsx]'Lake P Results'!AA52", 18.16)</f>
        <v>18.16</v>
      </c>
      <c r="AI506" s="27">
        <f>HYPERLINK("[N&amp;P with New retention and Differentiation.xlsx]'Lake P Results'!AA52", 18.16)</f>
        <v>18.16</v>
      </c>
      <c r="AJ506" s="18"/>
      <c r="AK506" s="18"/>
      <c r="AL506" s="18"/>
      <c r="AM506" s="18"/>
      <c r="AN506" s="18"/>
      <c r="AO506" s="18"/>
      <c r="AP506" s="18"/>
      <c r="AQ506" s="26">
        <f>HYPERLINK("[N&amp;P Old retention.xlsx]'Lake P Results'!AH52", 750)</f>
        <v>750</v>
      </c>
      <c r="AR506" s="26">
        <f>HYPERLINK("[N&amp;P New retention.xlsx]'Lake P Results'!AH52", 750)</f>
        <v>750</v>
      </c>
      <c r="AS506" s="26">
        <f>HYPERLINK("[N&amp;P with New retention and Differentiation.xlsx]'Lake P Results'!AH52", 750)</f>
        <v>750</v>
      </c>
      <c r="AT506" s="18"/>
      <c r="AU506" s="18"/>
      <c r="AV506" s="27">
        <f>HYPERLINK("[N&amp;P Old retention.xlsx]'Lake P Results'!M52", 414.182)</f>
        <v>414.18200000000002</v>
      </c>
      <c r="AW506" s="27">
        <f>HYPERLINK("[N&amp;P New retention.xlsx]'Lake P Results'!M52", 469.536)</f>
        <v>469.536</v>
      </c>
      <c r="AX506" s="27">
        <f>HYPERLINK("[N&amp;P with New retention and Differentiation.xlsx]'Lake P Results'!M52", 469.536)</f>
        <v>469.536</v>
      </c>
      <c r="AY506" s="46">
        <f>AW506-AV506</f>
        <v>55.353999999999985</v>
      </c>
      <c r="AZ506" s="46">
        <f>AX506-AV506</f>
        <v>55.353999999999985</v>
      </c>
      <c r="BA506" s="27">
        <f>HYPERLINK("[N&amp;P Old retention.xlsx]'Lake P Results'!O52", 35.37)</f>
        <v>35.369999999999997</v>
      </c>
      <c r="BB506" s="27">
        <f>HYPERLINK("[N&amp;P New retention.xlsx]'Lake P Results'!O52", 35.322)</f>
        <v>35.322000000000003</v>
      </c>
      <c r="BC506" s="27">
        <f>HYPERLINK("[N&amp;P with New retention and Differentiation.xlsx]'Lake P Results'!O52", 35.322)</f>
        <v>35.322000000000003</v>
      </c>
      <c r="BD506" s="47">
        <f>BB506-BA506</f>
        <v>-4.7999999999994714E-2</v>
      </c>
      <c r="BE506" s="47">
        <f>BC506-BA506</f>
        <v>-4.7999999999994714E-2</v>
      </c>
      <c r="BF506" s="27">
        <f>HYPERLINK("[N&amp;P Old retention.xlsx]'Lake P Results'!R52", 2.80800000000001)</f>
        <v>2.80800000000001</v>
      </c>
      <c r="BG506" s="27">
        <f>HYPERLINK("[N&amp;P New retention.xlsx]'Lake P Results'!R52", 2.50800000000001)</f>
        <v>2.5080000000000102</v>
      </c>
      <c r="BH506" s="27">
        <f>HYPERLINK("[N&amp;P with New retention and Differentiation.xlsx]'Lake P Results'!R52", 2.50800000000001)</f>
        <v>2.5080000000000102</v>
      </c>
      <c r="BI506" s="47">
        <f>BG506-BF506</f>
        <v>-0.29999999999999982</v>
      </c>
      <c r="BJ506" s="47">
        <f>BH506-BF506</f>
        <v>-0.29999999999999982</v>
      </c>
      <c r="BK506" s="18"/>
      <c r="BL506" s="18"/>
      <c r="BM506" s="18"/>
      <c r="BN506" s="18"/>
      <c r="BO506" s="18"/>
    </row>
    <row r="507" spans="1:67" x14ac:dyDescent="0.55000000000000004">
      <c r="A507" s="31">
        <v>167</v>
      </c>
      <c r="B507" s="5" t="s">
        <v>370</v>
      </c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29">
        <f>HYPERLINK("[N&amp;P Old retention.xlsx]'Lake P Results'!M53", 35.6)</f>
        <v>35.6</v>
      </c>
      <c r="AW507" s="29">
        <f>HYPERLINK("[N&amp;P New retention.xlsx]'Lake P Results'!M53", 45.72)</f>
        <v>45.72</v>
      </c>
      <c r="AX507" s="29">
        <f>HYPERLINK("[N&amp;P with New retention and Differentiation.xlsx]'Lake P Results'!M53", 42.35)</f>
        <v>42.35</v>
      </c>
      <c r="AY507" s="46">
        <f>AW507-AV507</f>
        <v>10.119999999999997</v>
      </c>
      <c r="AZ507" s="46">
        <f>AX507-AV507</f>
        <v>6.75</v>
      </c>
      <c r="BA507" s="13"/>
      <c r="BB507" s="13"/>
      <c r="BC507" s="29">
        <f>HYPERLINK("[N&amp;P with New retention and Differentiation.xlsx]'Lake P Results'!O53", 3.37)</f>
        <v>3.37</v>
      </c>
      <c r="BD507" s="13"/>
      <c r="BE507" s="46">
        <f>BC507-BA507</f>
        <v>3.37</v>
      </c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</row>
    <row r="508" spans="1:67" x14ac:dyDescent="0.55000000000000004">
      <c r="A508" s="30">
        <v>169</v>
      </c>
      <c r="B508" s="6" t="s">
        <v>371</v>
      </c>
      <c r="C508" s="27">
        <f>HYPERLINK("[N&amp;P Old retention.xlsx]'Lake P Results'!AE54", 0.23)</f>
        <v>0.23</v>
      </c>
      <c r="D508" s="27">
        <f>HYPERLINK("[N&amp;P New retention.xlsx]'Lake P Results'!AE54", 0.23)</f>
        <v>0.23</v>
      </c>
      <c r="E508" s="27">
        <f>HYPERLINK("[N&amp;P with New retention and Differentiation.xlsx]'Lake P Results'!AE54", 0.23)</f>
        <v>0.23</v>
      </c>
      <c r="F508" s="18"/>
      <c r="G508" s="18"/>
      <c r="H508" s="26">
        <f>HYPERLINK("[N&amp;P Old retention.xlsx]'Lake P Results'!AM54", 1400)</f>
        <v>1400</v>
      </c>
      <c r="I508" s="26">
        <f>HYPERLINK("[N&amp;P New retention.xlsx]'Lake P Results'!AM54", 1500)</f>
        <v>1500</v>
      </c>
      <c r="J508" s="26">
        <f>HYPERLINK("[N&amp;P with New retention and Differentiation.xlsx]'Lake P Results'!AM54", 1700)</f>
        <v>1700</v>
      </c>
      <c r="K508" s="16">
        <f>I508-H508</f>
        <v>100</v>
      </c>
      <c r="L508" s="16">
        <f>J508-H508</f>
        <v>300</v>
      </c>
      <c r="M508" s="27">
        <f>HYPERLINK("[N&amp;P Old retention.xlsx]'Lake P Results'!AC54", 0.034)</f>
        <v>3.4000000000000002E-2</v>
      </c>
      <c r="N508" s="27">
        <f>HYPERLINK("[N&amp;P New retention.xlsx]'Lake P Results'!AC54", 5.444)</f>
        <v>5.444</v>
      </c>
      <c r="O508" s="27">
        <f>HYPERLINK("[N&amp;P with New retention and Differentiation.xlsx]'Lake P Results'!AC54", 0.692)</f>
        <v>0.69199999999999995</v>
      </c>
      <c r="P508" s="46">
        <f>N508-M508</f>
        <v>5.41</v>
      </c>
      <c r="Q508" s="46">
        <f>O508-M508</f>
        <v>0.65799999999999992</v>
      </c>
      <c r="R508" s="27">
        <f>HYPERLINK("[N&amp;P Old retention.xlsx]'Lake P Results'!Y54", 0.022)</f>
        <v>2.1999999999999999E-2</v>
      </c>
      <c r="S508" s="27">
        <f>HYPERLINK("[N&amp;P New retention.xlsx]'Lake P Results'!Y54", 0.022)</f>
        <v>2.1999999999999999E-2</v>
      </c>
      <c r="T508" s="18"/>
      <c r="U508" s="18"/>
      <c r="V508" s="47">
        <f>T508-R508</f>
        <v>-2.1999999999999999E-2</v>
      </c>
      <c r="W508" s="18"/>
      <c r="X508" s="18"/>
      <c r="Y508" s="18"/>
      <c r="Z508" s="18"/>
      <c r="AA508" s="18"/>
      <c r="AB508" s="27">
        <f>HYPERLINK("[N&amp;P Old retention.xlsx]'Lake P Results'!Z54", 1.51)</f>
        <v>1.51</v>
      </c>
      <c r="AC508" s="18"/>
      <c r="AD508" s="27">
        <f>HYPERLINK("[N&amp;P with New retention and Differentiation.xlsx]'Lake P Results'!Z54", 2.3)</f>
        <v>2.2999999999999998</v>
      </c>
      <c r="AE508" s="47">
        <f>AC508-AB508</f>
        <v>-1.51</v>
      </c>
      <c r="AF508" s="46">
        <f>AD508-AB508</f>
        <v>0.78999999999999981</v>
      </c>
      <c r="AG508" s="27">
        <f>HYPERLINK("[N&amp;P Old retention.xlsx]'Lake P Results'!AA54", 1.51)</f>
        <v>1.51</v>
      </c>
      <c r="AH508" s="18"/>
      <c r="AI508" s="18"/>
      <c r="AJ508" s="47">
        <f>AH508-AG508</f>
        <v>-1.51</v>
      </c>
      <c r="AK508" s="47">
        <f>AI508-AG508</f>
        <v>-1.51</v>
      </c>
      <c r="AL508" s="18"/>
      <c r="AM508" s="18"/>
      <c r="AN508" s="18"/>
      <c r="AO508" s="18"/>
      <c r="AP508" s="18"/>
      <c r="AQ508" s="26">
        <f>HYPERLINK("[N&amp;P Old retention.xlsx]'Lake P Results'!AH54", 400)</f>
        <v>400</v>
      </c>
      <c r="AR508" s="26">
        <f>HYPERLINK("[N&amp;P New retention.xlsx]'Lake P Results'!AH54", 400)</f>
        <v>400</v>
      </c>
      <c r="AS508" s="26">
        <f>HYPERLINK("[N&amp;P with New retention and Differentiation.xlsx]'Lake P Results'!AH54", 400)</f>
        <v>400</v>
      </c>
      <c r="AT508" s="18"/>
      <c r="AU508" s="18"/>
      <c r="AV508" s="27">
        <f>HYPERLINK("[N&amp;P Old retention.xlsx]'Lake P Results'!M54", 31.212)</f>
        <v>31.212</v>
      </c>
      <c r="AW508" s="27">
        <f>HYPERLINK("[N&amp;P New retention.xlsx]'Lake P Results'!M54", 31.212)</f>
        <v>31.212</v>
      </c>
      <c r="AX508" s="27">
        <f>HYPERLINK("[N&amp;P with New retention and Differentiation.xlsx]'Lake P Results'!M54", 31.212)</f>
        <v>31.212</v>
      </c>
      <c r="AY508" s="18"/>
      <c r="AZ508" s="18"/>
      <c r="BA508" s="18"/>
      <c r="BB508" s="18"/>
      <c r="BC508" s="18"/>
      <c r="BD508" s="18"/>
      <c r="BE508" s="18"/>
      <c r="BF508" s="27">
        <f>HYPERLINK("[N&amp;P Old retention.xlsx]'Lake P Results'!R54", 0.49)</f>
        <v>0.49</v>
      </c>
      <c r="BG508" s="27">
        <f>HYPERLINK("[N&amp;P New retention.xlsx]'Lake P Results'!R54", 0.49)</f>
        <v>0.49</v>
      </c>
      <c r="BH508" s="27">
        <f>HYPERLINK("[N&amp;P with New retention and Differentiation.xlsx]'Lake P Results'!R54", 0.49)</f>
        <v>0.49</v>
      </c>
      <c r="BI508" s="18"/>
      <c r="BJ508" s="18"/>
      <c r="BK508" s="27">
        <f>HYPERLINK("[N&amp;P Old retention.xlsx]'Lake P Results'!Q54", 5.43)</f>
        <v>5.43</v>
      </c>
      <c r="BL508" s="27">
        <f>HYPERLINK("[N&amp;P New retention.xlsx]'Lake P Results'!Q54", 2.26)</f>
        <v>2.2599999999999998</v>
      </c>
      <c r="BM508" s="27">
        <f>HYPERLINK("[N&amp;P with New retention and Differentiation.xlsx]'Lake P Results'!Q54", 1.79)</f>
        <v>1.79</v>
      </c>
      <c r="BN508" s="47">
        <f>BL508-BK508</f>
        <v>-3.17</v>
      </c>
      <c r="BO508" s="47">
        <f>BM508-BK508</f>
        <v>-3.6399999999999997</v>
      </c>
    </row>
    <row r="509" spans="1:67" x14ac:dyDescent="0.55000000000000004">
      <c r="A509" s="31">
        <v>172</v>
      </c>
      <c r="B509" s="5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29">
        <f>HYPERLINK("[N&amp;P Old retention.xlsx]'Lake P Results'!M55", 27.04)</f>
        <v>27.04</v>
      </c>
      <c r="AW509" s="29">
        <f>HYPERLINK("[N&amp;P New retention.xlsx]'Lake P Results'!M55", 48.81)</f>
        <v>48.81</v>
      </c>
      <c r="AX509" s="29">
        <f>HYPERLINK("[N&amp;P with New retention and Differentiation.xlsx]'Lake P Results'!M55", 48.81)</f>
        <v>48.81</v>
      </c>
      <c r="AY509" s="46">
        <f>AW509-AV509</f>
        <v>21.770000000000003</v>
      </c>
      <c r="AZ509" s="46">
        <f>AX509-AV509</f>
        <v>21.770000000000003</v>
      </c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</row>
    <row r="510" spans="1:67" x14ac:dyDescent="0.55000000000000004">
      <c r="A510" s="30">
        <v>179</v>
      </c>
      <c r="B510" s="6" t="s">
        <v>372</v>
      </c>
      <c r="C510" s="18"/>
      <c r="D510" s="18"/>
      <c r="E510" s="18"/>
      <c r="F510" s="18"/>
      <c r="G510" s="18"/>
      <c r="H510" s="26">
        <f>HYPERLINK("[N&amp;P Old retention.xlsx]'Lake P Results'!AM56", 100)</f>
        <v>100</v>
      </c>
      <c r="I510" s="26">
        <f>HYPERLINK("[N&amp;P New retention.xlsx]'Lake P Results'!AM56", 100)</f>
        <v>100</v>
      </c>
      <c r="J510" s="26">
        <f>HYPERLINK("[N&amp;P with New retention and Differentiation.xlsx]'Lake P Results'!AM56", 100)</f>
        <v>100</v>
      </c>
      <c r="K510" s="18"/>
      <c r="L510" s="18"/>
      <c r="M510" s="27">
        <f>HYPERLINK("[N&amp;P Old retention.xlsx]'Lake P Results'!AC56", 1.052)</f>
        <v>1.052</v>
      </c>
      <c r="N510" s="18"/>
      <c r="O510" s="27">
        <f>HYPERLINK("[N&amp;P with New retention and Differentiation.xlsx]'Lake P Results'!AC56", 0.792)</f>
        <v>0.79200000000000004</v>
      </c>
      <c r="P510" s="47">
        <f>N510-M510</f>
        <v>-1.052</v>
      </c>
      <c r="Q510" s="47">
        <f>O510-M510</f>
        <v>-0.26</v>
      </c>
      <c r="R510" s="18"/>
      <c r="S510" s="18"/>
      <c r="T510" s="18"/>
      <c r="U510" s="18"/>
      <c r="V510" s="18"/>
      <c r="W510" s="18"/>
      <c r="X510" s="27">
        <f>HYPERLINK("[N&amp;P New retention.xlsx]'Lake P Results'!V56", 0.904)</f>
        <v>0.90400000000000003</v>
      </c>
      <c r="Y510" s="18"/>
      <c r="Z510" s="46">
        <f>X510-W510</f>
        <v>0.90400000000000003</v>
      </c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27">
        <f>HYPERLINK("[N&amp;P Old retention.xlsx]'Lake P Results'!M56", 19.14)</f>
        <v>19.14</v>
      </c>
      <c r="AW510" s="27">
        <f>HYPERLINK("[N&amp;P New retention.xlsx]'Lake P Results'!M56", 14.02)</f>
        <v>14.02</v>
      </c>
      <c r="AX510" s="27">
        <f>HYPERLINK("[N&amp;P with New retention and Differentiation.xlsx]'Lake P Results'!M56", 14.02)</f>
        <v>14.02</v>
      </c>
      <c r="AY510" s="47">
        <f>AW510-AV510</f>
        <v>-5.120000000000001</v>
      </c>
      <c r="AZ510" s="47">
        <f>AX510-AV510</f>
        <v>-5.120000000000001</v>
      </c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27">
        <f>HYPERLINK("[N&amp;P Old retention.xlsx]'Lake P Results'!Q56", 1.18)</f>
        <v>1.18</v>
      </c>
      <c r="BL510" s="27">
        <f>HYPERLINK("[N&amp;P New retention.xlsx]'Lake P Results'!Q56", 0.08)</f>
        <v>0.08</v>
      </c>
      <c r="BM510" s="27">
        <f>HYPERLINK("[N&amp;P with New retention and Differentiation.xlsx]'Lake P Results'!Q56", 0.08)</f>
        <v>0.08</v>
      </c>
      <c r="BN510" s="47">
        <f>BL510-BK510</f>
        <v>-1.0999999999999999</v>
      </c>
      <c r="BO510" s="47">
        <f>BM510-BK510</f>
        <v>-1.0999999999999999</v>
      </c>
    </row>
    <row r="511" spans="1:67" x14ac:dyDescent="0.55000000000000004">
      <c r="A511" s="31">
        <v>180</v>
      </c>
      <c r="B511" s="5" t="s">
        <v>373</v>
      </c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29">
        <f>HYPERLINK("[N&amp;P Old retention.xlsx]'Lake P Results'!AC57", 8.92)</f>
        <v>8.92</v>
      </c>
      <c r="N511" s="29">
        <f>HYPERLINK("[N&amp;P New retention.xlsx]'Lake P Results'!AC57", 5.04)</f>
        <v>5.04</v>
      </c>
      <c r="O511" s="29">
        <f>HYPERLINK("[N&amp;P with New retention and Differentiation.xlsx]'Lake P Results'!AC57", 2.64)</f>
        <v>2.64</v>
      </c>
      <c r="P511" s="47">
        <f>N511-M511</f>
        <v>-3.88</v>
      </c>
      <c r="Q511" s="47">
        <f>O511-M511</f>
        <v>-6.2799999999999994</v>
      </c>
      <c r="R511" s="13"/>
      <c r="S511" s="29">
        <f>HYPERLINK("[N&amp;P New retention.xlsx]'Lake P Results'!Y57", 2.68)</f>
        <v>2.68</v>
      </c>
      <c r="T511" s="29">
        <f>HYPERLINK("[N&amp;P with New retention and Differentiation.xlsx]'Lake P Results'!Y57", 6.24)</f>
        <v>6.24</v>
      </c>
      <c r="U511" s="46">
        <f>S511-R511</f>
        <v>2.68</v>
      </c>
      <c r="V511" s="46">
        <f>T511-R511</f>
        <v>6.24</v>
      </c>
      <c r="W511" s="13"/>
      <c r="X511" s="13"/>
      <c r="Y511" s="13"/>
      <c r="Z511" s="13"/>
      <c r="AA511" s="13"/>
      <c r="AB511" s="29">
        <f>HYPERLINK("[N&amp;P Old retention.xlsx]'Lake P Results'!Z57", 2.64)</f>
        <v>2.64</v>
      </c>
      <c r="AC511" s="29">
        <f>HYPERLINK("[N&amp;P New retention.xlsx]'Lake P Results'!Z57", 3.84)</f>
        <v>3.84</v>
      </c>
      <c r="AD511" s="29">
        <f>HYPERLINK("[N&amp;P with New retention and Differentiation.xlsx]'Lake P Results'!Z57", 2.68)</f>
        <v>2.68</v>
      </c>
      <c r="AE511" s="46">
        <f>AC511-AB511</f>
        <v>1.1999999999999997</v>
      </c>
      <c r="AF511" s="46">
        <f>AD511-AB511</f>
        <v>4.0000000000000036E-2</v>
      </c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28">
        <f>HYPERLINK("[N&amp;P Old retention.xlsx]'Lake P Results'!AH57", 50)</f>
        <v>50</v>
      </c>
      <c r="AR511" s="28">
        <f>HYPERLINK("[N&amp;P New retention.xlsx]'Lake P Results'!AH57", 50)</f>
        <v>50</v>
      </c>
      <c r="AS511" s="28">
        <f>HYPERLINK("[N&amp;P with New retention and Differentiation.xlsx]'Lake P Results'!AH57", 50)</f>
        <v>50</v>
      </c>
      <c r="AT511" s="13"/>
      <c r="AU511" s="13"/>
      <c r="AV511" s="29">
        <f>HYPERLINK("[N&amp;P Old retention.xlsx]'Lake P Results'!M57", 27.66)</f>
        <v>27.66</v>
      </c>
      <c r="AW511" s="29">
        <f>HYPERLINK("[N&amp;P New retention.xlsx]'Lake P Results'!M57", 27.66)</f>
        <v>27.66</v>
      </c>
      <c r="AX511" s="29">
        <f>HYPERLINK("[N&amp;P with New retention and Differentiation.xlsx]'Lake P Results'!M57", 27.66)</f>
        <v>27.66</v>
      </c>
      <c r="AY511" s="13"/>
      <c r="AZ511" s="13"/>
      <c r="BA511" s="29">
        <f>HYPERLINK("[N&amp;P Old retention.xlsx]'Lake P Results'!O57", 6.26)</f>
        <v>6.26</v>
      </c>
      <c r="BB511" s="29">
        <f>HYPERLINK("[N&amp;P New retention.xlsx]'Lake P Results'!O57", 6.26)</f>
        <v>6.26</v>
      </c>
      <c r="BC511" s="29">
        <f>HYPERLINK("[N&amp;P with New retention and Differentiation.xlsx]'Lake P Results'!O57", 6.26)</f>
        <v>6.26</v>
      </c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</row>
    <row r="512" spans="1:67" x14ac:dyDescent="0.55000000000000004">
      <c r="A512" s="30">
        <v>187</v>
      </c>
      <c r="B512" s="6" t="s">
        <v>374</v>
      </c>
      <c r="C512" s="27">
        <f>HYPERLINK("[N&amp;P Old retention.xlsx]'Lake P Results'!AE58", 0.27)</f>
        <v>0.27</v>
      </c>
      <c r="D512" s="27">
        <f>HYPERLINK("[N&amp;P New retention.xlsx]'Lake P Results'!AE58", 0.27)</f>
        <v>0.27</v>
      </c>
      <c r="E512" s="27">
        <f>HYPERLINK("[N&amp;P with New retention and Differentiation.xlsx]'Lake P Results'!AE58", 0.27)</f>
        <v>0.27</v>
      </c>
      <c r="F512" s="18"/>
      <c r="G512" s="18"/>
      <c r="H512" s="26">
        <f>HYPERLINK("[N&amp;P Old retention.xlsx]'Lake P Results'!AM58", 4300)</f>
        <v>4300</v>
      </c>
      <c r="I512" s="26">
        <f>HYPERLINK("[N&amp;P New retention.xlsx]'Lake P Results'!AM58", 4400)</f>
        <v>4400</v>
      </c>
      <c r="J512" s="26">
        <f>HYPERLINK("[N&amp;P with New retention and Differentiation.xlsx]'Lake P Results'!AM58", 4500)</f>
        <v>4500</v>
      </c>
      <c r="K512" s="16">
        <f>I512-H512</f>
        <v>100</v>
      </c>
      <c r="L512" s="16">
        <f>J512-H512</f>
        <v>200</v>
      </c>
      <c r="M512" s="27">
        <f>HYPERLINK("[N&amp;P Old retention.xlsx]'Lake P Results'!AC58", 0.564)</f>
        <v>0.56399999999999995</v>
      </c>
      <c r="N512" s="27">
        <f>HYPERLINK("[N&amp;P New retention.xlsx]'Lake P Results'!AC58", 0.984)</f>
        <v>0.98399999999999999</v>
      </c>
      <c r="O512" s="27">
        <f>HYPERLINK("[N&amp;P with New retention and Differentiation.xlsx]'Lake P Results'!AC58", 0.544)</f>
        <v>0.54400000000000004</v>
      </c>
      <c r="P512" s="46">
        <f>N512-M512</f>
        <v>0.42000000000000004</v>
      </c>
      <c r="Q512" s="47">
        <f>O512-M512</f>
        <v>-1.9999999999999907E-2</v>
      </c>
      <c r="R512" s="18"/>
      <c r="S512" s="27">
        <f>HYPERLINK("[N&amp;P New retention.xlsx]'Lake P Results'!Y58", 0.18)</f>
        <v>0.18</v>
      </c>
      <c r="T512" s="18"/>
      <c r="U512" s="46">
        <f>S512-R512</f>
        <v>0.18</v>
      </c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27">
        <f>HYPERLINK("[N&amp;P Old retention.xlsx]'Lake P Results'!AA58", 5.194)</f>
        <v>5.194</v>
      </c>
      <c r="AH512" s="27">
        <f>HYPERLINK("[N&amp;P New retention.xlsx]'Lake P Results'!AA58", 0.368)</f>
        <v>0.36799999999999999</v>
      </c>
      <c r="AI512" s="27">
        <f>HYPERLINK("[N&amp;P with New retention and Differentiation.xlsx]'Lake P Results'!AA58", 0.368)</f>
        <v>0.36799999999999999</v>
      </c>
      <c r="AJ512" s="47">
        <f>AH512-AG512</f>
        <v>-4.8259999999999996</v>
      </c>
      <c r="AK512" s="47">
        <f>AI512-AG512</f>
        <v>-4.8259999999999996</v>
      </c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27">
        <f>HYPERLINK("[N&amp;P Old retention.xlsx]'Lake P Results'!M58", 86.134)</f>
        <v>86.134</v>
      </c>
      <c r="AW512" s="27">
        <f>HYPERLINK("[N&amp;P New retention.xlsx]'Lake P Results'!M58", 80.74)</f>
        <v>80.739999999999995</v>
      </c>
      <c r="AX512" s="27">
        <f>HYPERLINK("[N&amp;P with New retention and Differentiation.xlsx]'Lake P Results'!M58", 77.29)</f>
        <v>77.290000000000006</v>
      </c>
      <c r="AY512" s="47">
        <f>AW512-AV512</f>
        <v>-5.3940000000000055</v>
      </c>
      <c r="AZ512" s="47">
        <f>AX512-AV512</f>
        <v>-8.8439999999999941</v>
      </c>
      <c r="BA512" s="18"/>
      <c r="BB512" s="27">
        <f>HYPERLINK("[N&amp;P New retention.xlsx]'Lake P Results'!O58", 4.65)</f>
        <v>4.6500000000000004</v>
      </c>
      <c r="BC512" s="27">
        <f>HYPERLINK("[N&amp;P with New retention and Differentiation.xlsx]'Lake P Results'!O58", 4.65)</f>
        <v>4.6500000000000004</v>
      </c>
      <c r="BD512" s="46">
        <f>BB512-BA512</f>
        <v>4.6500000000000004</v>
      </c>
      <c r="BE512" s="46">
        <f>BC512-BA512</f>
        <v>4.6500000000000004</v>
      </c>
      <c r="BF512" s="27">
        <f>HYPERLINK("[N&amp;P Old retention.xlsx]'Lake P Results'!R58", 2.81)</f>
        <v>2.81</v>
      </c>
      <c r="BG512" s="27">
        <f>HYPERLINK("[N&amp;P New retention.xlsx]'Lake P Results'!R58", 2.81)</f>
        <v>2.81</v>
      </c>
      <c r="BH512" s="27">
        <f>HYPERLINK("[N&amp;P with New retention and Differentiation.xlsx]'Lake P Results'!R58", 2.81)</f>
        <v>2.81</v>
      </c>
      <c r="BI512" s="18"/>
      <c r="BJ512" s="18"/>
      <c r="BK512" s="27">
        <f>HYPERLINK("[N&amp;P Old retention.xlsx]'Lake P Results'!Q58", 1.128)</f>
        <v>1.1279999999999999</v>
      </c>
      <c r="BL512" s="27">
        <f>HYPERLINK("[N&amp;P New retention.xlsx]'Lake P Results'!Q58", 0.679999999999999)</f>
        <v>0.67999999999999905</v>
      </c>
      <c r="BM512" s="27">
        <f>HYPERLINK("[N&amp;P with New retention and Differentiation.xlsx]'Lake P Results'!Q58", 0.679999999999999)</f>
        <v>0.67999999999999905</v>
      </c>
      <c r="BN512" s="47">
        <f>BL512-BK512</f>
        <v>-0.44800000000000084</v>
      </c>
      <c r="BO512" s="47">
        <f>BM512-BK512</f>
        <v>-0.44800000000000084</v>
      </c>
    </row>
    <row r="513" spans="1:67" x14ac:dyDescent="0.55000000000000004">
      <c r="A513" s="31">
        <v>188</v>
      </c>
      <c r="B513" s="5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29">
        <f>HYPERLINK("[N&amp;P Old retention.xlsx]'Lake P Results'!M59", 29.57)</f>
        <v>29.57</v>
      </c>
      <c r="AW513" s="29">
        <f>HYPERLINK("[N&amp;P New retention.xlsx]'Lake P Results'!M59", 43.79)</f>
        <v>43.79</v>
      </c>
      <c r="AX513" s="29">
        <f>HYPERLINK("[N&amp;P with New retention and Differentiation.xlsx]'Lake P Results'!M59", 43.79)</f>
        <v>43.79</v>
      </c>
      <c r="AY513" s="46">
        <f>AW513-AV513</f>
        <v>14.219999999999999</v>
      </c>
      <c r="AZ513" s="46">
        <f>AX513-AV513</f>
        <v>14.219999999999999</v>
      </c>
      <c r="BA513" s="29">
        <f>HYPERLINK("[N&amp;P Old retention.xlsx]'Lake P Results'!O59", 28.066)</f>
        <v>28.065999999999999</v>
      </c>
      <c r="BB513" s="29">
        <f>HYPERLINK("[N&amp;P New retention.xlsx]'Lake P Results'!O59", 38.176)</f>
        <v>38.176000000000002</v>
      </c>
      <c r="BC513" s="29">
        <f>HYPERLINK("[N&amp;P with New retention and Differentiation.xlsx]'Lake P Results'!O59", 38.176)</f>
        <v>38.176000000000002</v>
      </c>
      <c r="BD513" s="46">
        <f>BB513-BA513</f>
        <v>10.110000000000003</v>
      </c>
      <c r="BE513" s="46">
        <f>BC513-BA513</f>
        <v>10.110000000000003</v>
      </c>
      <c r="BF513" s="29">
        <f>HYPERLINK("[N&amp;P Old retention.xlsx]'Lake P Results'!R59", 0.33)</f>
        <v>0.33</v>
      </c>
      <c r="BG513" s="29">
        <f>HYPERLINK("[N&amp;P New retention.xlsx]'Lake P Results'!R59", 0.33)</f>
        <v>0.33</v>
      </c>
      <c r="BH513" s="29">
        <f>HYPERLINK("[N&amp;P with New retention and Differentiation.xlsx]'Lake P Results'!R59", 0.33)</f>
        <v>0.33</v>
      </c>
      <c r="BI513" s="13"/>
      <c r="BJ513" s="13"/>
      <c r="BK513" s="29">
        <f>HYPERLINK("[N&amp;P Old retention.xlsx]'Lake P Results'!Q59", 1.63)</f>
        <v>1.63</v>
      </c>
      <c r="BL513" s="13"/>
      <c r="BM513" s="13"/>
      <c r="BN513" s="47">
        <f>BL513-BK513</f>
        <v>-1.63</v>
      </c>
      <c r="BO513" s="47">
        <f>BM513-BK513</f>
        <v>-1.63</v>
      </c>
    </row>
    <row r="514" spans="1:67" x14ac:dyDescent="0.55000000000000004">
      <c r="A514" s="30">
        <v>189</v>
      </c>
      <c r="B514" s="6" t="s">
        <v>375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27">
        <f>HYPERLINK("[N&amp;P Old retention.xlsx]'Lake P Results'!M60", 26.26)</f>
        <v>26.26</v>
      </c>
      <c r="AW514" s="27">
        <f>HYPERLINK("[N&amp;P New retention.xlsx]'Lake P Results'!M60", 38.64)</f>
        <v>38.64</v>
      </c>
      <c r="AX514" s="27">
        <f>HYPERLINK("[N&amp;P with New retention and Differentiation.xlsx]'Lake P Results'!M60", 38.64)</f>
        <v>38.64</v>
      </c>
      <c r="AY514" s="46">
        <f>AW514-AV514</f>
        <v>12.379999999999999</v>
      </c>
      <c r="AZ514" s="46">
        <f>AX514-AV514</f>
        <v>12.379999999999999</v>
      </c>
      <c r="BA514" s="18"/>
      <c r="BB514" s="27">
        <f>HYPERLINK("[N&amp;P New retention.xlsx]'Lake P Results'!O60", 1.73)</f>
        <v>1.73</v>
      </c>
      <c r="BC514" s="27">
        <f>HYPERLINK("[N&amp;P with New retention and Differentiation.xlsx]'Lake P Results'!O60", 1.73)</f>
        <v>1.73</v>
      </c>
      <c r="BD514" s="46">
        <f>BB514-BA514</f>
        <v>1.73</v>
      </c>
      <c r="BE514" s="46">
        <f>BC514-BA514</f>
        <v>1.73</v>
      </c>
      <c r="BF514" s="27">
        <f>HYPERLINK("[N&amp;P Old retention.xlsx]'Lake P Results'!R60", 0.44)</f>
        <v>0.44</v>
      </c>
      <c r="BG514" s="18"/>
      <c r="BH514" s="18"/>
      <c r="BI514" s="47">
        <f>BG514-BF514</f>
        <v>-0.44</v>
      </c>
      <c r="BJ514" s="47">
        <f>BH514-BF514</f>
        <v>-0.44</v>
      </c>
      <c r="BK514" s="27">
        <f>HYPERLINK("[N&amp;P Old retention.xlsx]'Lake P Results'!Q60", 2.48)</f>
        <v>2.48</v>
      </c>
      <c r="BL514" s="27">
        <f>HYPERLINK("[N&amp;P New retention.xlsx]'Lake P Results'!Q60", 0.730000000000001)</f>
        <v>0.73000000000000098</v>
      </c>
      <c r="BM514" s="27">
        <f>HYPERLINK("[N&amp;P with New retention and Differentiation.xlsx]'Lake P Results'!Q60", 0.730000000000001)</f>
        <v>0.73000000000000098</v>
      </c>
      <c r="BN514" s="47">
        <f>BL514-BK514</f>
        <v>-1.7499999999999991</v>
      </c>
      <c r="BO514" s="47">
        <f>BM514-BK514</f>
        <v>-1.7499999999999991</v>
      </c>
    </row>
    <row r="515" spans="1:67" x14ac:dyDescent="0.55000000000000004">
      <c r="A515" s="31">
        <v>190</v>
      </c>
      <c r="B515" s="5" t="s">
        <v>376</v>
      </c>
      <c r="C515" s="13"/>
      <c r="D515" s="13"/>
      <c r="E515" s="13"/>
      <c r="F515" s="13"/>
      <c r="G515" s="13"/>
      <c r="H515" s="28">
        <f>HYPERLINK("[N&amp;P Old retention.xlsx]'Lake P Results'!AM61", 600)</f>
        <v>600</v>
      </c>
      <c r="I515" s="28">
        <f>HYPERLINK("[N&amp;P New retention.xlsx]'Lake P Results'!AM61", 300)</f>
        <v>300</v>
      </c>
      <c r="J515" s="28">
        <f>HYPERLINK("[N&amp;P with New retention and Differentiation.xlsx]'Lake P Results'!AM61", 600)</f>
        <v>600</v>
      </c>
      <c r="K515" s="21">
        <f>I515-H515</f>
        <v>-300</v>
      </c>
      <c r="L515" s="13"/>
      <c r="M515" s="29">
        <f>HYPERLINK("[N&amp;P Old retention.xlsx]'Lake P Results'!AC61", 40.688)</f>
        <v>40.688000000000002</v>
      </c>
      <c r="N515" s="29">
        <f>HYPERLINK("[N&amp;P New retention.xlsx]'Lake P Results'!AC61", 36)</f>
        <v>36</v>
      </c>
      <c r="O515" s="29">
        <f>HYPERLINK("[N&amp;P with New retention and Differentiation.xlsx]'Lake P Results'!AC61", 36)</f>
        <v>36</v>
      </c>
      <c r="P515" s="47">
        <f>N515-M515</f>
        <v>-4.6880000000000024</v>
      </c>
      <c r="Q515" s="47">
        <f>O515-M515</f>
        <v>-4.6880000000000024</v>
      </c>
      <c r="R515" s="29">
        <f>HYPERLINK("[N&amp;P Old retention.xlsx]'Lake P Results'!Y61", 11.27)</f>
        <v>11.27</v>
      </c>
      <c r="S515" s="13"/>
      <c r="T515" s="29">
        <f>HYPERLINK("[N&amp;P with New retention and Differentiation.xlsx]'Lake P Results'!Y61", 15.56)</f>
        <v>15.56</v>
      </c>
      <c r="U515" s="47">
        <f>S515-R515</f>
        <v>-11.27</v>
      </c>
      <c r="V515" s="46">
        <f>T515-R515</f>
        <v>4.2900000000000009</v>
      </c>
      <c r="W515" s="13"/>
      <c r="X515" s="29">
        <f>HYPERLINK("[N&amp;P New retention.xlsx]'Lake P Results'!V61", 3.37)</f>
        <v>3.37</v>
      </c>
      <c r="Y515" s="13"/>
      <c r="Z515" s="46">
        <f>X515-W515</f>
        <v>3.37</v>
      </c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29">
        <f>HYPERLINK("[N&amp;P Old retention.xlsx]'Lake P Results'!AF61", 0.014)</f>
        <v>1.4E-2</v>
      </c>
      <c r="AM515" s="13"/>
      <c r="AN515" s="29">
        <f>HYPERLINK("[N&amp;P with New retention and Differentiation.xlsx]'Lake P Results'!AF61", 0.014)</f>
        <v>1.4E-2</v>
      </c>
      <c r="AO515" s="47">
        <f>AM515-AL515</f>
        <v>-1.4E-2</v>
      </c>
      <c r="AP515" s="13"/>
      <c r="AQ515" s="28">
        <f>HYPERLINK("[N&amp;P Old retention.xlsx]'Lake P Results'!AH61", 20)</f>
        <v>20</v>
      </c>
      <c r="AR515" s="28">
        <f>HYPERLINK("[N&amp;P New retention.xlsx]'Lake P Results'!AH61", 20)</f>
        <v>20</v>
      </c>
      <c r="AS515" s="28">
        <f>HYPERLINK("[N&amp;P with New retention and Differentiation.xlsx]'Lake P Results'!AH61", 20)</f>
        <v>20</v>
      </c>
      <c r="AT515" s="13"/>
      <c r="AU515" s="13"/>
      <c r="AV515" s="13"/>
      <c r="AW515" s="13"/>
      <c r="AX515" s="13"/>
      <c r="AY515" s="13"/>
      <c r="AZ515" s="13"/>
      <c r="BA515" s="13"/>
      <c r="BB515" s="29">
        <f>HYPERLINK("[N&amp;P New retention.xlsx]'Lake P Results'!O61", 1.276)</f>
        <v>1.276</v>
      </c>
      <c r="BC515" s="13"/>
      <c r="BD515" s="46">
        <f>BB515-BA515</f>
        <v>1.276</v>
      </c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</row>
    <row r="516" spans="1:67" x14ac:dyDescent="0.55000000000000004">
      <c r="A516" s="30">
        <v>195</v>
      </c>
      <c r="B516" s="6" t="s">
        <v>377</v>
      </c>
      <c r="C516" s="18"/>
      <c r="D516" s="18"/>
      <c r="E516" s="18"/>
      <c r="F516" s="18"/>
      <c r="G516" s="18"/>
      <c r="H516" s="26">
        <f>HYPERLINK("[N&amp;P Old retention.xlsx]'Lake P Results'!AM62", 4100)</f>
        <v>4100</v>
      </c>
      <c r="I516" s="26">
        <f>HYPERLINK("[N&amp;P New retention.xlsx]'Lake P Results'!AM62", 4100)</f>
        <v>4100</v>
      </c>
      <c r="J516" s="26">
        <f>HYPERLINK("[N&amp;P with New retention and Differentiation.xlsx]'Lake P Results'!AM62", 4100)</f>
        <v>4100</v>
      </c>
      <c r="K516" s="18"/>
      <c r="L516" s="18"/>
      <c r="M516" s="27">
        <f>HYPERLINK("[N&amp;P Old retention.xlsx]'Lake P Results'!AC62", 20.128)</f>
        <v>20.128</v>
      </c>
      <c r="N516" s="27">
        <f>HYPERLINK("[N&amp;P New retention.xlsx]'Lake P Results'!AC62", 3.648)</f>
        <v>3.6480000000000001</v>
      </c>
      <c r="O516" s="27">
        <f>HYPERLINK("[N&amp;P with New retention and Differentiation.xlsx]'Lake P Results'!AC62", 3.648)</f>
        <v>3.6480000000000001</v>
      </c>
      <c r="P516" s="47">
        <f>N516-M516</f>
        <v>-16.48</v>
      </c>
      <c r="Q516" s="47">
        <f>O516-M516</f>
        <v>-16.48</v>
      </c>
      <c r="R516" s="18"/>
      <c r="S516" s="27">
        <f>HYPERLINK("[N&amp;P New retention.xlsx]'Lake P Results'!Y62", 16.48)</f>
        <v>16.48</v>
      </c>
      <c r="T516" s="27">
        <f>HYPERLINK("[N&amp;P with New retention and Differentiation.xlsx]'Lake P Results'!Y62", 16.56)</f>
        <v>16.559999999999999</v>
      </c>
      <c r="U516" s="46">
        <f>S516-R516</f>
        <v>16.48</v>
      </c>
      <c r="V516" s="46">
        <f>T516-R516</f>
        <v>16.559999999999999</v>
      </c>
      <c r="W516" s="27">
        <f>HYPERLINK("[N&amp;P Old retention.xlsx]'Lake P Results'!V62", 2.58)</f>
        <v>2.58</v>
      </c>
      <c r="X516" s="27">
        <f>HYPERLINK("[N&amp;P New retention.xlsx]'Lake P Results'!V62", 2.58)</f>
        <v>2.58</v>
      </c>
      <c r="Y516" s="27">
        <f>HYPERLINK("[N&amp;P with New retention and Differentiation.xlsx]'Lake P Results'!V62", 2.58)</f>
        <v>2.58</v>
      </c>
      <c r="Z516" s="18"/>
      <c r="AA516" s="18"/>
      <c r="AB516" s="27">
        <f>HYPERLINK("[N&amp;P Old retention.xlsx]'Lake P Results'!Z62", 1.032)</f>
        <v>1.032</v>
      </c>
      <c r="AC516" s="27">
        <f>HYPERLINK("[N&amp;P New retention.xlsx]'Lake P Results'!Z62", 1.032)</f>
        <v>1.032</v>
      </c>
      <c r="AD516" s="27">
        <f>HYPERLINK("[N&amp;P with New retention and Differentiation.xlsx]'Lake P Results'!Z62", 0.952)</f>
        <v>0.95199999999999996</v>
      </c>
      <c r="AE516" s="18"/>
      <c r="AF516" s="47">
        <f>AD516-AB516</f>
        <v>-8.0000000000000071E-2</v>
      </c>
      <c r="AG516" s="18"/>
      <c r="AH516" s="18"/>
      <c r="AI516" s="18"/>
      <c r="AJ516" s="18"/>
      <c r="AK516" s="18"/>
      <c r="AL516" s="27">
        <f>HYPERLINK("[N&amp;P Old retention.xlsx]'Lake P Results'!AF62", 0.05)</f>
        <v>0.05</v>
      </c>
      <c r="AM516" s="27">
        <f>HYPERLINK("[N&amp;P New retention.xlsx]'Lake P Results'!AF62", 0.05)</f>
        <v>0.05</v>
      </c>
      <c r="AN516" s="27">
        <f>HYPERLINK("[N&amp;P with New retention and Differentiation.xlsx]'Lake P Results'!AF62", 0.05)</f>
        <v>0.05</v>
      </c>
      <c r="AO516" s="18"/>
      <c r="AP516" s="18"/>
      <c r="AQ516" s="26">
        <f>HYPERLINK("[N&amp;P Old retention.xlsx]'Lake P Results'!AH62", 259.999999999985)</f>
        <v>259.99999999998499</v>
      </c>
      <c r="AR516" s="26">
        <f>HYPERLINK("[N&amp;P New retention.xlsx]'Lake P Results'!AH62", 259.999999999985)</f>
        <v>259.99999999998499</v>
      </c>
      <c r="AS516" s="26">
        <f>HYPERLINK("[N&amp;P with New retention and Differentiation.xlsx]'Lake P Results'!AH62", 259.999999999985)</f>
        <v>259.99999999998499</v>
      </c>
      <c r="AT516" s="18"/>
      <c r="AU516" s="18"/>
      <c r="AV516" s="27">
        <f>HYPERLINK("[N&amp;P Old retention.xlsx]'Lake P Results'!M62", 176.18)</f>
        <v>176.18</v>
      </c>
      <c r="AW516" s="27">
        <f>HYPERLINK("[N&amp;P New retention.xlsx]'Lake P Results'!M62", 176.18)</f>
        <v>176.18</v>
      </c>
      <c r="AX516" s="27">
        <f>HYPERLINK("[N&amp;P with New retention and Differentiation.xlsx]'Lake P Results'!M62", 176.18)</f>
        <v>176.18</v>
      </c>
      <c r="AY516" s="18"/>
      <c r="AZ516" s="18"/>
      <c r="BA516" s="27">
        <f>HYPERLINK("[N&amp;P Old retention.xlsx]'Lake P Results'!O62", 30.478)</f>
        <v>30.478000000000002</v>
      </c>
      <c r="BB516" s="27">
        <f>HYPERLINK("[N&amp;P New retention.xlsx]'Lake P Results'!O62", 30.478)</f>
        <v>30.478000000000002</v>
      </c>
      <c r="BC516" s="27">
        <f>HYPERLINK("[N&amp;P with New retention and Differentiation.xlsx]'Lake P Results'!O62", 30.478)</f>
        <v>30.478000000000002</v>
      </c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</row>
    <row r="517" spans="1:67" x14ac:dyDescent="0.55000000000000004">
      <c r="A517" s="31">
        <v>196</v>
      </c>
      <c r="B517" s="5" t="s">
        <v>378</v>
      </c>
      <c r="C517" s="29">
        <f>HYPERLINK("[N&amp;P Old retention.xlsx]'Lake P Results'!AE63", 3.03999999999999)</f>
        <v>3.0399999999999898</v>
      </c>
      <c r="D517" s="29">
        <f>HYPERLINK("[N&amp;P New retention.xlsx]'Lake P Results'!AE63", 3.03999999999999)</f>
        <v>3.0399999999999898</v>
      </c>
      <c r="E517" s="29">
        <f>HYPERLINK("[N&amp;P with New retention and Differentiation.xlsx]'Lake P Results'!AE63", 3.03999999999999)</f>
        <v>3.0399999999999898</v>
      </c>
      <c r="F517" s="13"/>
      <c r="G517" s="13"/>
      <c r="H517" s="28">
        <f>HYPERLINK("[N&amp;P Old retention.xlsx]'Lake P Results'!AM63", 3200)</f>
        <v>3200</v>
      </c>
      <c r="I517" s="28">
        <f>HYPERLINK("[N&amp;P New retention.xlsx]'Lake P Results'!AM63", 2400)</f>
        <v>2400</v>
      </c>
      <c r="J517" s="28">
        <f>HYPERLINK("[N&amp;P with New retention and Differentiation.xlsx]'Lake P Results'!AM63", 2400)</f>
        <v>2400</v>
      </c>
      <c r="K517" s="21">
        <f>I517-H517</f>
        <v>-800</v>
      </c>
      <c r="L517" s="21">
        <f>J517-H517</f>
        <v>-800</v>
      </c>
      <c r="M517" s="29">
        <f>HYPERLINK("[N&amp;P Old retention.xlsx]'Lake P Results'!AC63", 1.034)</f>
        <v>1.034</v>
      </c>
      <c r="N517" s="13"/>
      <c r="O517" s="29">
        <f>HYPERLINK("[N&amp;P with New retention and Differentiation.xlsx]'Lake P Results'!AC63", 0.1)</f>
        <v>0.1</v>
      </c>
      <c r="P517" s="47">
        <f>N517-M517</f>
        <v>-1.034</v>
      </c>
      <c r="Q517" s="47">
        <f>O517-M517</f>
        <v>-0.93400000000000005</v>
      </c>
      <c r="R517" s="13"/>
      <c r="S517" s="29">
        <f>HYPERLINK("[N&amp;P New retention.xlsx]'Lake P Results'!Y63", 0.1)</f>
        <v>0.1</v>
      </c>
      <c r="T517" s="13"/>
      <c r="U517" s="46">
        <f>S517-R517</f>
        <v>0.1</v>
      </c>
      <c r="V517" s="13"/>
      <c r="W517" s="13"/>
      <c r="X517" s="13"/>
      <c r="Y517" s="13"/>
      <c r="Z517" s="13"/>
      <c r="AA517" s="13"/>
      <c r="AB517" s="29">
        <f>HYPERLINK("[N&amp;P Old retention.xlsx]'Lake P Results'!Z63", 0.1)</f>
        <v>0.1</v>
      </c>
      <c r="AC517" s="13"/>
      <c r="AD517" s="13"/>
      <c r="AE517" s="47">
        <f>AC517-AB517</f>
        <v>-0.1</v>
      </c>
      <c r="AF517" s="47">
        <f>AD517-AB517</f>
        <v>-0.1</v>
      </c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29">
        <f>HYPERLINK("[N&amp;P Old retention.xlsx]'Lake P Results'!M63", 162.718)</f>
        <v>162.71799999999999</v>
      </c>
      <c r="AW517" s="29">
        <f>HYPERLINK("[N&amp;P New retention.xlsx]'Lake P Results'!M63", 195.828)</f>
        <v>195.828</v>
      </c>
      <c r="AX517" s="29">
        <f>HYPERLINK("[N&amp;P with New retention and Differentiation.xlsx]'Lake P Results'!M63", 195.828)</f>
        <v>195.828</v>
      </c>
      <c r="AY517" s="46">
        <f>AW517-AV517</f>
        <v>33.110000000000014</v>
      </c>
      <c r="AZ517" s="46">
        <f>AX517-AV517</f>
        <v>33.110000000000014</v>
      </c>
      <c r="BA517" s="29">
        <f>HYPERLINK("[N&amp;P Old retention.xlsx]'Lake P Results'!O63", 9.1)</f>
        <v>9.1</v>
      </c>
      <c r="BB517" s="29">
        <f>HYPERLINK("[N&amp;P New retention.xlsx]'Lake P Results'!O63", 10.38)</f>
        <v>10.38</v>
      </c>
      <c r="BC517" s="29">
        <f>HYPERLINK("[N&amp;P with New retention and Differentiation.xlsx]'Lake P Results'!O63", 10.38)</f>
        <v>10.38</v>
      </c>
      <c r="BD517" s="46">
        <f>BB517-BA517</f>
        <v>1.2800000000000011</v>
      </c>
      <c r="BE517" s="46">
        <f>BC517-BA517</f>
        <v>1.2800000000000011</v>
      </c>
      <c r="BF517" s="13"/>
      <c r="BG517" s="13"/>
      <c r="BH517" s="13"/>
      <c r="BI517" s="13"/>
      <c r="BJ517" s="13"/>
      <c r="BK517" s="29">
        <f>HYPERLINK("[N&amp;P Old retention.xlsx]'Lake P Results'!Q63", 6.45600000000001)</f>
        <v>6.4560000000000102</v>
      </c>
      <c r="BL517" s="29">
        <f>HYPERLINK("[N&amp;P New retention.xlsx]'Lake P Results'!Q63", 5.39600000000001)</f>
        <v>5.3960000000000097</v>
      </c>
      <c r="BM517" s="29">
        <f>HYPERLINK("[N&amp;P with New retention and Differentiation.xlsx]'Lake P Results'!Q63", 5.39600000000001)</f>
        <v>5.3960000000000097</v>
      </c>
      <c r="BN517" s="47">
        <f>BL517-BK517</f>
        <v>-1.0600000000000005</v>
      </c>
      <c r="BO517" s="47">
        <f>BM517-BK517</f>
        <v>-1.0600000000000005</v>
      </c>
    </row>
    <row r="518" spans="1:67" x14ac:dyDescent="0.55000000000000004">
      <c r="A518" s="30">
        <v>197</v>
      </c>
      <c r="B518" s="6" t="s">
        <v>379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</row>
    <row r="519" spans="1:67" x14ac:dyDescent="0.55000000000000004">
      <c r="A519" s="31">
        <v>202</v>
      </c>
      <c r="B519" s="5" t="s">
        <v>380</v>
      </c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29">
        <f>HYPERLINK("[N&amp;P Old retention.xlsx]'Lake P Results'!M65", 3.67)</f>
        <v>3.67</v>
      </c>
      <c r="AW519" s="29">
        <f>HYPERLINK("[N&amp;P New retention.xlsx]'Lake P Results'!M65", 7.67)</f>
        <v>7.67</v>
      </c>
      <c r="AX519" s="29">
        <f>HYPERLINK("[N&amp;P with New retention and Differentiation.xlsx]'Lake P Results'!M65", 7.67)</f>
        <v>7.67</v>
      </c>
      <c r="AY519" s="46">
        <f>AW519-AV519</f>
        <v>4</v>
      </c>
      <c r="AZ519" s="46">
        <f>AX519-AV519</f>
        <v>4</v>
      </c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29">
        <f>HYPERLINK("[N&amp;P Old retention.xlsx]'Lake P Results'!Q65", 0.4)</f>
        <v>0.4</v>
      </c>
      <c r="BL519" s="13"/>
      <c r="BM519" s="13"/>
      <c r="BN519" s="47">
        <f>BL519-BK519</f>
        <v>-0.4</v>
      </c>
      <c r="BO519" s="47">
        <f>BM519-BK519</f>
        <v>-0.4</v>
      </c>
    </row>
    <row r="520" spans="1:67" x14ac:dyDescent="0.55000000000000004">
      <c r="A520" s="30">
        <v>206</v>
      </c>
      <c r="B520" s="6" t="s">
        <v>381</v>
      </c>
      <c r="C520" s="18"/>
      <c r="D520" s="18"/>
      <c r="E520" s="18"/>
      <c r="F520" s="18"/>
      <c r="G520" s="18"/>
      <c r="H520" s="26">
        <f>HYPERLINK("[N&amp;P Old retention.xlsx]'Lake P Results'!AM66", 300)</f>
        <v>300</v>
      </c>
      <c r="I520" s="26">
        <f>HYPERLINK("[N&amp;P New retention.xlsx]'Lake P Results'!AM66", 300)</f>
        <v>300</v>
      </c>
      <c r="J520" s="26">
        <f>HYPERLINK("[N&amp;P with New retention and Differentiation.xlsx]'Lake P Results'!AM66", 300)</f>
        <v>300</v>
      </c>
      <c r="K520" s="18"/>
      <c r="L520" s="18"/>
      <c r="M520" s="27">
        <f>HYPERLINK("[N&amp;P Old retention.xlsx]'Lake P Results'!AC66", 10.352)</f>
        <v>10.352</v>
      </c>
      <c r="N520" s="18"/>
      <c r="O520" s="18"/>
      <c r="P520" s="47">
        <f>N520-M520</f>
        <v>-10.352</v>
      </c>
      <c r="Q520" s="47">
        <f>O520-M520</f>
        <v>-10.352</v>
      </c>
      <c r="R520" s="18"/>
      <c r="S520" s="27">
        <f>HYPERLINK("[N&amp;P New retention.xlsx]'Lake P Results'!Y66", 10.406)</f>
        <v>10.406000000000001</v>
      </c>
      <c r="T520" s="27">
        <f>HYPERLINK("[N&amp;P with New retention and Differentiation.xlsx]'Lake P Results'!Y66", 0.054)</f>
        <v>5.3999999999999999E-2</v>
      </c>
      <c r="U520" s="46">
        <f>S520-R520</f>
        <v>10.406000000000001</v>
      </c>
      <c r="V520" s="46">
        <f>T520-R520</f>
        <v>5.3999999999999999E-2</v>
      </c>
      <c r="W520" s="18"/>
      <c r="X520" s="18"/>
      <c r="Y520" s="18"/>
      <c r="Z520" s="18"/>
      <c r="AA520" s="18"/>
      <c r="AB520" s="27">
        <f>HYPERLINK("[N&amp;P Old retention.xlsx]'Lake P Results'!Z66", 0.054)</f>
        <v>5.3999999999999999E-2</v>
      </c>
      <c r="AC520" s="18"/>
      <c r="AD520" s="27">
        <f>HYPERLINK("[N&amp;P with New retention and Differentiation.xlsx]'Lake P Results'!Z66", 10.352)</f>
        <v>10.352</v>
      </c>
      <c r="AE520" s="47">
        <f>AC520-AB520</f>
        <v>-5.3999999999999999E-2</v>
      </c>
      <c r="AF520" s="46">
        <f>AD520-AB520</f>
        <v>10.298</v>
      </c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26">
        <f>HYPERLINK("[N&amp;P Old retention.xlsx]'Lake P Results'!AH66", 50)</f>
        <v>50</v>
      </c>
      <c r="AR520" s="26">
        <f>HYPERLINK("[N&amp;P New retention.xlsx]'Lake P Results'!AH66", 50)</f>
        <v>50</v>
      </c>
      <c r="AS520" s="26">
        <f>HYPERLINK("[N&amp;P with New retention and Differentiation.xlsx]'Lake P Results'!AH66", 50)</f>
        <v>50</v>
      </c>
      <c r="AT520" s="18"/>
      <c r="AU520" s="18"/>
      <c r="AV520" s="18"/>
      <c r="AW520" s="18"/>
      <c r="AX520" s="18"/>
      <c r="AY520" s="18"/>
      <c r="AZ520" s="18"/>
      <c r="BA520" s="27">
        <f>HYPERLINK("[N&amp;P Old retention.xlsx]'Lake P Results'!O66", 0.078)</f>
        <v>7.8E-2</v>
      </c>
      <c r="BB520" s="27">
        <f>HYPERLINK("[N&amp;P New retention.xlsx]'Lake P Results'!O66", 0.078)</f>
        <v>7.8E-2</v>
      </c>
      <c r="BC520" s="27">
        <f>HYPERLINK("[N&amp;P with New retention and Differentiation.xlsx]'Lake P Results'!O66", 0.078)</f>
        <v>7.8E-2</v>
      </c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</row>
    <row r="521" spans="1:67" x14ac:dyDescent="0.55000000000000004">
      <c r="A521" s="31">
        <v>213</v>
      </c>
      <c r="B521" s="5" t="s">
        <v>382</v>
      </c>
      <c r="C521" s="29">
        <f>HYPERLINK("[N&amp;P Old retention.xlsx]'Lake P Results'!AE67", 0.2)</f>
        <v>0.2</v>
      </c>
      <c r="D521" s="29">
        <f>HYPERLINK("[N&amp;P New retention.xlsx]'Lake P Results'!AE67", 0.2)</f>
        <v>0.2</v>
      </c>
      <c r="E521" s="29">
        <f>HYPERLINK("[N&amp;P with New retention and Differentiation.xlsx]'Lake P Results'!AE67", 0.2)</f>
        <v>0.2</v>
      </c>
      <c r="F521" s="13"/>
      <c r="G521" s="13"/>
      <c r="H521" s="28">
        <f>HYPERLINK("[N&amp;P Old retention.xlsx]'Lake P Results'!AM67", 3500)</f>
        <v>3500</v>
      </c>
      <c r="I521" s="28">
        <f>HYPERLINK("[N&amp;P New retention.xlsx]'Lake P Results'!AM67", 3500)</f>
        <v>3500</v>
      </c>
      <c r="J521" s="28">
        <f>HYPERLINK("[N&amp;P with New retention and Differentiation.xlsx]'Lake P Results'!AM67", 3500)</f>
        <v>3500</v>
      </c>
      <c r="K521" s="13"/>
      <c r="L521" s="13"/>
      <c r="M521" s="29">
        <f>HYPERLINK("[N&amp;P Old retention.xlsx]'Lake P Results'!AC67", 11.11)</f>
        <v>11.11</v>
      </c>
      <c r="N521" s="29">
        <f>HYPERLINK("[N&amp;P New retention.xlsx]'Lake P Results'!AC67", 1.29)</f>
        <v>1.29</v>
      </c>
      <c r="O521" s="29">
        <f>HYPERLINK("[N&amp;P with New retention and Differentiation.xlsx]'Lake P Results'!AC67", 3.82)</f>
        <v>3.82</v>
      </c>
      <c r="P521" s="47">
        <f>N521-M521</f>
        <v>-9.82</v>
      </c>
      <c r="Q521" s="47">
        <f>O521-M521</f>
        <v>-7.2899999999999991</v>
      </c>
      <c r="R521" s="13"/>
      <c r="S521" s="29">
        <f>HYPERLINK("[N&amp;P New retention.xlsx]'Lake P Results'!Y67", 6)</f>
        <v>6</v>
      </c>
      <c r="T521" s="29">
        <f>HYPERLINK("[N&amp;P with New retention and Differentiation.xlsx]'Lake P Results'!Y67", 6)</f>
        <v>6</v>
      </c>
      <c r="U521" s="46">
        <f>S521-R521</f>
        <v>6</v>
      </c>
      <c r="V521" s="46">
        <f>T521-R521</f>
        <v>6</v>
      </c>
      <c r="W521" s="29">
        <f>HYPERLINK("[N&amp;P Old retention.xlsx]'Lake P Results'!V67", 36.57)</f>
        <v>36.57</v>
      </c>
      <c r="X521" s="29">
        <f>HYPERLINK("[N&amp;P New retention.xlsx]'Lake P Results'!V67", 36.57)</f>
        <v>36.57</v>
      </c>
      <c r="Y521" s="29">
        <f>HYPERLINK("[N&amp;P with New retention and Differentiation.xlsx]'Lake P Results'!V67", 36.57)</f>
        <v>36.57</v>
      </c>
      <c r="Z521" s="13"/>
      <c r="AA521" s="13"/>
      <c r="AB521" s="13"/>
      <c r="AC521" s="29">
        <f>HYPERLINK("[N&amp;P New retention.xlsx]'Lake P Results'!Z67", 3.82)</f>
        <v>3.82</v>
      </c>
      <c r="AD521" s="29">
        <f>HYPERLINK("[N&amp;P with New retention and Differentiation.xlsx]'Lake P Results'!Z67", 1.29)</f>
        <v>1.29</v>
      </c>
      <c r="AE521" s="46">
        <f>AC521-AB521</f>
        <v>3.82</v>
      </c>
      <c r="AF521" s="46">
        <f>AD521-AB521</f>
        <v>1.29</v>
      </c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28">
        <f>HYPERLINK("[N&amp;P Old retention.xlsx]'Lake P Results'!AH67", 60)</f>
        <v>60</v>
      </c>
      <c r="AR521" s="28">
        <f>HYPERLINK("[N&amp;P New retention.xlsx]'Lake P Results'!AH67", 60)</f>
        <v>60</v>
      </c>
      <c r="AS521" s="28">
        <f>HYPERLINK("[N&amp;P with New retention and Differentiation.xlsx]'Lake P Results'!AH67", 60)</f>
        <v>60</v>
      </c>
      <c r="AT521" s="13"/>
      <c r="AU521" s="13"/>
      <c r="AV521" s="13"/>
      <c r="AW521" s="13"/>
      <c r="AX521" s="13"/>
      <c r="AY521" s="13"/>
      <c r="AZ521" s="13"/>
      <c r="BA521" s="29">
        <f>HYPERLINK("[N&amp;P Old retention.xlsx]'Lake P Results'!O67", 49.392)</f>
        <v>49.392000000000003</v>
      </c>
      <c r="BB521" s="29">
        <f>HYPERLINK("[N&amp;P New retention.xlsx]'Lake P Results'!O67", 49.392)</f>
        <v>49.392000000000003</v>
      </c>
      <c r="BC521" s="29">
        <f>HYPERLINK("[N&amp;P with New retention and Differentiation.xlsx]'Lake P Results'!O67", 49.392)</f>
        <v>49.392000000000003</v>
      </c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</row>
    <row r="522" spans="1:67" x14ac:dyDescent="0.55000000000000004">
      <c r="A522" s="30">
        <v>215</v>
      </c>
      <c r="B522" s="6" t="s">
        <v>383</v>
      </c>
      <c r="C522" s="18"/>
      <c r="D522" s="18"/>
      <c r="E522" s="18"/>
      <c r="F522" s="18"/>
      <c r="G522" s="18"/>
      <c r="H522" s="26">
        <f>HYPERLINK("[N&amp;P Old retention.xlsx]'Lake P Results'!AM68", 2100)</f>
        <v>2100</v>
      </c>
      <c r="I522" s="26">
        <f>HYPERLINK("[N&amp;P New retention.xlsx]'Lake P Results'!AM68", 2099.99999999995)</f>
        <v>2099.99999999995</v>
      </c>
      <c r="J522" s="26">
        <f>HYPERLINK("[N&amp;P with New retention and Differentiation.xlsx]'Lake P Results'!AM68", 2000)</f>
        <v>2000</v>
      </c>
      <c r="K522" s="21">
        <f>I522-H522</f>
        <v>-5.0022208597511053E-11</v>
      </c>
      <c r="L522" s="21">
        <f>J522-H522</f>
        <v>-100</v>
      </c>
      <c r="M522" s="27">
        <f>HYPERLINK("[N&amp;P Old retention.xlsx]'Lake P Results'!AC68", 83.45)</f>
        <v>83.45</v>
      </c>
      <c r="N522" s="27">
        <f>HYPERLINK("[N&amp;P New retention.xlsx]'Lake P Results'!AC68", 124.66)</f>
        <v>124.66</v>
      </c>
      <c r="O522" s="27">
        <f>HYPERLINK("[N&amp;P with New retention and Differentiation.xlsx]'Lake P Results'!AC68", 91.68)</f>
        <v>91.68</v>
      </c>
      <c r="P522" s="46">
        <f>N522-M522</f>
        <v>41.209999999999994</v>
      </c>
      <c r="Q522" s="46">
        <f>O522-M522</f>
        <v>8.230000000000004</v>
      </c>
      <c r="R522" s="27">
        <f>HYPERLINK("[N&amp;P Old retention.xlsx]'Lake P Results'!Y68", 0.36)</f>
        <v>0.36</v>
      </c>
      <c r="S522" s="27">
        <f>HYPERLINK("[N&amp;P New retention.xlsx]'Lake P Results'!Y68", 2.56)</f>
        <v>2.56</v>
      </c>
      <c r="T522" s="27">
        <f>HYPERLINK("[N&amp;P with New retention and Differentiation.xlsx]'Lake P Results'!Y68", 0.46)</f>
        <v>0.46</v>
      </c>
      <c r="U522" s="46">
        <f>S522-R522</f>
        <v>2.2000000000000002</v>
      </c>
      <c r="V522" s="46">
        <f>T522-R522</f>
        <v>0.10000000000000003</v>
      </c>
      <c r="W522" s="27">
        <f>HYPERLINK("[N&amp;P Old retention.xlsx]'Lake P Results'!V68", 82.83)</f>
        <v>82.83</v>
      </c>
      <c r="X522" s="27">
        <f>HYPERLINK("[N&amp;P New retention.xlsx]'Lake P Results'!V68", 33.82)</f>
        <v>33.82</v>
      </c>
      <c r="Y522" s="27">
        <f>HYPERLINK("[N&amp;P with New retention and Differentiation.xlsx]'Lake P Results'!V68", 82.83)</f>
        <v>82.83</v>
      </c>
      <c r="Z522" s="47">
        <f>X522-W522</f>
        <v>-49.01</v>
      </c>
      <c r="AA522" s="18"/>
      <c r="AB522" s="27">
        <f>HYPERLINK("[N&amp;P Old retention.xlsx]'Lake P Results'!Z68", 8.43)</f>
        <v>8.43</v>
      </c>
      <c r="AC522" s="27">
        <f>HYPERLINK("[N&amp;P New retention.xlsx]'Lake P Results'!Z68", 8.33)</f>
        <v>8.33</v>
      </c>
      <c r="AD522" s="27">
        <f>HYPERLINK("[N&amp;P with New retention and Differentiation.xlsx]'Lake P Results'!Z68", 0.1)</f>
        <v>0.1</v>
      </c>
      <c r="AE522" s="47">
        <f>AC522-AB522</f>
        <v>-9.9999999999999645E-2</v>
      </c>
      <c r="AF522" s="47">
        <f>AD522-AB522</f>
        <v>-8.33</v>
      </c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26">
        <f>HYPERLINK("[N&amp;P Old retention.xlsx]'Lake P Results'!AH68", 270)</f>
        <v>270</v>
      </c>
      <c r="AR522" s="26">
        <f>HYPERLINK("[N&amp;P New retention.xlsx]'Lake P Results'!AH68", 270)</f>
        <v>270</v>
      </c>
      <c r="AS522" s="26">
        <f>HYPERLINK("[N&amp;P with New retention and Differentiation.xlsx]'Lake P Results'!AH68", 270)</f>
        <v>270</v>
      </c>
      <c r="AT522" s="18"/>
      <c r="AU522" s="18"/>
      <c r="AV522" s="27">
        <f>HYPERLINK("[N&amp;P Old retention.xlsx]'Lake P Results'!M68", 76.8)</f>
        <v>76.8</v>
      </c>
      <c r="AW522" s="27">
        <f>HYPERLINK("[N&amp;P New retention.xlsx]'Lake P Results'!M68", 82.5)</f>
        <v>82.5</v>
      </c>
      <c r="AX522" s="27">
        <f>HYPERLINK("[N&amp;P with New retention and Differentiation.xlsx]'Lake P Results'!M68", 76.8)</f>
        <v>76.8</v>
      </c>
      <c r="AY522" s="46">
        <f>AW522-AV522</f>
        <v>5.7000000000000028</v>
      </c>
      <c r="AZ522" s="18"/>
      <c r="BA522" s="27">
        <f>HYPERLINK("[N&amp;P Old retention.xlsx]'Lake P Results'!O68", 29.856)</f>
        <v>29.856000000000002</v>
      </c>
      <c r="BB522" s="27">
        <f>HYPERLINK("[N&amp;P New retention.xlsx]'Lake P Results'!O68", 29.856)</f>
        <v>29.856000000000002</v>
      </c>
      <c r="BC522" s="27">
        <f>HYPERLINK("[N&amp;P with New retention and Differentiation.xlsx]'Lake P Results'!O68", 29.856)</f>
        <v>29.856000000000002</v>
      </c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</row>
    <row r="523" spans="1:67" x14ac:dyDescent="0.55000000000000004">
      <c r="A523" s="31">
        <v>219</v>
      </c>
      <c r="B523" s="5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29">
        <f>HYPERLINK("[N&amp;P Old retention.xlsx]'Lake P Results'!R69", 0.996)</f>
        <v>0.996</v>
      </c>
      <c r="BG523" s="29">
        <f>HYPERLINK("[N&amp;P New retention.xlsx]'Lake P Results'!R69", 0.516)</f>
        <v>0.51600000000000001</v>
      </c>
      <c r="BH523" s="29">
        <f>HYPERLINK("[N&amp;P with New retention and Differentiation.xlsx]'Lake P Results'!R69", 0.516)</f>
        <v>0.51600000000000001</v>
      </c>
      <c r="BI523" s="47">
        <f>BG523-BF523</f>
        <v>-0.48</v>
      </c>
      <c r="BJ523" s="47">
        <f>BH523-BF523</f>
        <v>-0.48</v>
      </c>
      <c r="BK523" s="13"/>
      <c r="BL523" s="13"/>
      <c r="BM523" s="13"/>
      <c r="BN523" s="13"/>
      <c r="BO523" s="13"/>
    </row>
    <row r="524" spans="1:67" x14ac:dyDescent="0.55000000000000004">
      <c r="A524" s="30">
        <v>220</v>
      </c>
      <c r="B524" s="6" t="s">
        <v>384</v>
      </c>
      <c r="C524" s="18"/>
      <c r="D524" s="18"/>
      <c r="E524" s="18"/>
      <c r="F524" s="18"/>
      <c r="G524" s="18"/>
      <c r="H524" s="26">
        <f>HYPERLINK("[N&amp;P Old retention.xlsx]'Lake P Results'!AM70", 1000)</f>
        <v>1000</v>
      </c>
      <c r="I524" s="26">
        <f>HYPERLINK("[N&amp;P New retention.xlsx]'Lake P Results'!AM70", 1000)</f>
        <v>1000</v>
      </c>
      <c r="J524" s="26">
        <f>HYPERLINK("[N&amp;P with New retention and Differentiation.xlsx]'Lake P Results'!AM70", 900)</f>
        <v>900</v>
      </c>
      <c r="K524" s="18"/>
      <c r="L524" s="21">
        <f>J524-H524</f>
        <v>-100</v>
      </c>
      <c r="M524" s="18"/>
      <c r="N524" s="27">
        <f>HYPERLINK("[N&amp;P New retention.xlsx]'Lake P Results'!AC70", 0.304)</f>
        <v>0.30399999999999999</v>
      </c>
      <c r="O524" s="27">
        <f>HYPERLINK("[N&amp;P with New retention and Differentiation.xlsx]'Lake P Results'!AC70", 0.304)</f>
        <v>0.30399999999999999</v>
      </c>
      <c r="P524" s="46">
        <f>N524-M524</f>
        <v>0.30399999999999999</v>
      </c>
      <c r="Q524" s="46">
        <f>O524-M524</f>
        <v>0.30399999999999999</v>
      </c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27">
        <f>HYPERLINK("[N&amp;P Old retention.xlsx]'Lake P Results'!M70", 26.33)</f>
        <v>26.33</v>
      </c>
      <c r="AW524" s="27">
        <f>HYPERLINK("[N&amp;P New retention.xlsx]'Lake P Results'!M70", 34.86)</f>
        <v>34.86</v>
      </c>
      <c r="AX524" s="27">
        <f>HYPERLINK("[N&amp;P with New retention and Differentiation.xlsx]'Lake P Results'!M70", 34.86)</f>
        <v>34.86</v>
      </c>
      <c r="AY524" s="46">
        <f>AW524-AV524</f>
        <v>8.5300000000000011</v>
      </c>
      <c r="AZ524" s="46">
        <f>AX524-AV524</f>
        <v>8.5300000000000011</v>
      </c>
      <c r="BA524" s="18"/>
      <c r="BB524" s="27">
        <f>HYPERLINK("[N&amp;P New retention.xlsx]'Lake P Results'!O70", 0.79)</f>
        <v>0.79</v>
      </c>
      <c r="BC524" s="18"/>
      <c r="BD524" s="46">
        <f>BB524-BA524</f>
        <v>0.79</v>
      </c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</row>
    <row r="525" spans="1:67" x14ac:dyDescent="0.55000000000000004">
      <c r="A525" s="31">
        <v>222</v>
      </c>
      <c r="B525" s="5" t="s">
        <v>385</v>
      </c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29">
        <f>HYPERLINK("[N&amp;P Old retention.xlsx]'Lake P Results'!M71", 9.01)</f>
        <v>9.01</v>
      </c>
      <c r="AW525" s="29">
        <f>HYPERLINK("[N&amp;P New retention.xlsx]'Lake P Results'!M71", 9.01)</f>
        <v>9.01</v>
      </c>
      <c r="AX525" s="29">
        <f>HYPERLINK("[N&amp;P with New retention and Differentiation.xlsx]'Lake P Results'!M71", 9.01)</f>
        <v>9.01</v>
      </c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</row>
    <row r="526" spans="1:67" x14ac:dyDescent="0.55000000000000004">
      <c r="A526" s="30">
        <v>224</v>
      </c>
      <c r="B526" s="6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</row>
    <row r="527" spans="1:67" x14ac:dyDescent="0.55000000000000004">
      <c r="A527" s="31">
        <v>226</v>
      </c>
      <c r="B527" s="5" t="s">
        <v>386</v>
      </c>
      <c r="C527" s="13"/>
      <c r="D527" s="13"/>
      <c r="E527" s="13"/>
      <c r="F527" s="13"/>
      <c r="G527" s="13"/>
      <c r="H527" s="28">
        <f>HYPERLINK("[N&amp;P Old retention.xlsx]'Lake P Results'!AM73", 3800)</f>
        <v>3800</v>
      </c>
      <c r="I527" s="28">
        <f>HYPERLINK("[N&amp;P New retention.xlsx]'Lake P Results'!AM73", 3800)</f>
        <v>3800</v>
      </c>
      <c r="J527" s="28">
        <f>HYPERLINK("[N&amp;P with New retention and Differentiation.xlsx]'Lake P Results'!AM73", 3800)</f>
        <v>3800</v>
      </c>
      <c r="K527" s="13"/>
      <c r="L527" s="13"/>
      <c r="M527" s="13"/>
      <c r="N527" s="13"/>
      <c r="O527" s="13"/>
      <c r="P527" s="13"/>
      <c r="Q527" s="13"/>
      <c r="R527" s="29">
        <f>HYPERLINK("[N&amp;P Old retention.xlsx]'Lake P Results'!Y73", 3.99)</f>
        <v>3.99</v>
      </c>
      <c r="S527" s="29">
        <f>HYPERLINK("[N&amp;P New retention.xlsx]'Lake P Results'!Y73", 2.86)</f>
        <v>2.86</v>
      </c>
      <c r="T527" s="29">
        <f>HYPERLINK("[N&amp;P with New retention and Differentiation.xlsx]'Lake P Results'!Y73", 3.99)</f>
        <v>3.99</v>
      </c>
      <c r="U527" s="47">
        <f>S527-R527</f>
        <v>-1.1300000000000003</v>
      </c>
      <c r="V527" s="13"/>
      <c r="W527" s="13"/>
      <c r="X527" s="13"/>
      <c r="Y527" s="13"/>
      <c r="Z527" s="13"/>
      <c r="AA527" s="13"/>
      <c r="AB527" s="13"/>
      <c r="AC527" s="29">
        <f>HYPERLINK("[N&amp;P New retention.xlsx]'Lake P Results'!Z73", 1.13)</f>
        <v>1.1299999999999999</v>
      </c>
      <c r="AD527" s="13"/>
      <c r="AE527" s="46">
        <f>AC527-AB527</f>
        <v>1.1299999999999999</v>
      </c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28">
        <f>HYPERLINK("[N&amp;P Old retention.xlsx]'Lake P Results'!AH73", 400)</f>
        <v>400</v>
      </c>
      <c r="AR527" s="28">
        <f>HYPERLINK("[N&amp;P New retention.xlsx]'Lake P Results'!AH73", 400)</f>
        <v>400</v>
      </c>
      <c r="AS527" s="28">
        <f>HYPERLINK("[N&amp;P with New retention and Differentiation.xlsx]'Lake P Results'!AH73", 400)</f>
        <v>400</v>
      </c>
      <c r="AT527" s="13"/>
      <c r="AU527" s="13"/>
      <c r="AV527" s="29">
        <f>HYPERLINK("[N&amp;P Old retention.xlsx]'Lake P Results'!M73", 421.102)</f>
        <v>421.10199999999998</v>
      </c>
      <c r="AW527" s="29">
        <f>HYPERLINK("[N&amp;P New retention.xlsx]'Lake P Results'!M73", 421.102)</f>
        <v>421.10199999999998</v>
      </c>
      <c r="AX527" s="29">
        <f>HYPERLINK("[N&amp;P with New retention and Differentiation.xlsx]'Lake P Results'!M73", 421.102)</f>
        <v>421.10199999999998</v>
      </c>
      <c r="AY527" s="13"/>
      <c r="AZ527" s="13"/>
      <c r="BA527" s="29">
        <f>HYPERLINK("[N&amp;P Old retention.xlsx]'Lake P Results'!O73", 1.24)</f>
        <v>1.24</v>
      </c>
      <c r="BB527" s="29">
        <f>HYPERLINK("[N&amp;P New retention.xlsx]'Lake P Results'!O73", 1.24)</f>
        <v>1.24</v>
      </c>
      <c r="BC527" s="29">
        <f>HYPERLINK("[N&amp;P with New retention and Differentiation.xlsx]'Lake P Results'!O73", 1.24)</f>
        <v>1.24</v>
      </c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</row>
    <row r="528" spans="1:67" x14ac:dyDescent="0.55000000000000004">
      <c r="A528" s="30">
        <v>232</v>
      </c>
      <c r="B528" s="6" t="s">
        <v>387</v>
      </c>
      <c r="C528" s="27">
        <f>HYPERLINK("[N&amp;P Old retention.xlsx]'Lake P Results'!AE74", 0.83)</f>
        <v>0.83</v>
      </c>
      <c r="D528" s="27">
        <f>HYPERLINK("[N&amp;P New retention.xlsx]'Lake P Results'!AE74", 0.83)</f>
        <v>0.83</v>
      </c>
      <c r="E528" s="27">
        <f>HYPERLINK("[N&amp;P with New retention and Differentiation.xlsx]'Lake P Results'!AE74", 0.83)</f>
        <v>0.83</v>
      </c>
      <c r="F528" s="18"/>
      <c r="G528" s="18"/>
      <c r="H528" s="26">
        <f>HYPERLINK("[N&amp;P Old retention.xlsx]'Lake P Results'!AM74", 10900)</f>
        <v>10900</v>
      </c>
      <c r="I528" s="26">
        <f>HYPERLINK("[N&amp;P New retention.xlsx]'Lake P Results'!AM74", 10900)</f>
        <v>10900</v>
      </c>
      <c r="J528" s="26">
        <f>HYPERLINK("[N&amp;P with New retention and Differentiation.xlsx]'Lake P Results'!AM74", 10900)</f>
        <v>10900</v>
      </c>
      <c r="K528" s="18"/>
      <c r="L528" s="18"/>
      <c r="M528" s="18"/>
      <c r="N528" s="18"/>
      <c r="O528" s="27">
        <f>HYPERLINK("[N&amp;P with New retention and Differentiation.xlsx]'Lake P Results'!AC74", 10.34)</f>
        <v>10.34</v>
      </c>
      <c r="P528" s="18"/>
      <c r="Q528" s="46">
        <f>O528-M528</f>
        <v>10.34</v>
      </c>
      <c r="R528" s="27">
        <f>HYPERLINK("[N&amp;P Old retention.xlsx]'Lake P Results'!Y74", 29.778)</f>
        <v>29.777999999999999</v>
      </c>
      <c r="S528" s="27">
        <f>HYPERLINK("[N&amp;P New retention.xlsx]'Lake P Results'!Y74", 28.198)</f>
        <v>28.198</v>
      </c>
      <c r="T528" s="27">
        <f>HYPERLINK("[N&amp;P with New retention and Differentiation.xlsx]'Lake P Results'!Y74", 39.438)</f>
        <v>39.438000000000002</v>
      </c>
      <c r="U528" s="47">
        <f>S528-R528</f>
        <v>-1.5799999999999983</v>
      </c>
      <c r="V528" s="46">
        <f>T528-R528</f>
        <v>9.6600000000000037</v>
      </c>
      <c r="W528" s="27">
        <f>HYPERLINK("[N&amp;P Old retention.xlsx]'Lake P Results'!V74", 14.284)</f>
        <v>14.284000000000001</v>
      </c>
      <c r="X528" s="27">
        <f>HYPERLINK("[N&amp;P New retention.xlsx]'Lake P Results'!V74", 14.284)</f>
        <v>14.284000000000001</v>
      </c>
      <c r="Y528" s="27">
        <f>HYPERLINK("[N&amp;P with New retention and Differentiation.xlsx]'Lake P Results'!V74", 14.284)</f>
        <v>14.284000000000001</v>
      </c>
      <c r="Z528" s="18"/>
      <c r="AA528" s="18"/>
      <c r="AB528" s="27">
        <f>HYPERLINK("[N&amp;P Old retention.xlsx]'Lake P Results'!Z74", 21.39)</f>
        <v>21.39</v>
      </c>
      <c r="AC528" s="27">
        <f>HYPERLINK("[N&amp;P New retention.xlsx]'Lake P Results'!Z74", 22.97)</f>
        <v>22.97</v>
      </c>
      <c r="AD528" s="27">
        <f>HYPERLINK("[N&amp;P with New retention and Differentiation.xlsx]'Lake P Results'!Z74", 1.39)</f>
        <v>1.39</v>
      </c>
      <c r="AE528" s="46">
        <f>AC528-AB528</f>
        <v>1.5799999999999983</v>
      </c>
      <c r="AF528" s="47">
        <f>AD528-AB528</f>
        <v>-20</v>
      </c>
      <c r="AG528" s="18"/>
      <c r="AH528" s="18"/>
      <c r="AI528" s="18"/>
      <c r="AJ528" s="18"/>
      <c r="AK528" s="18"/>
      <c r="AL528" s="27">
        <f>HYPERLINK("[N&amp;P Old retention.xlsx]'Lake P Results'!AF74", 0.19)</f>
        <v>0.19</v>
      </c>
      <c r="AM528" s="27">
        <f>HYPERLINK("[N&amp;P New retention.xlsx]'Lake P Results'!AF74", 0.19)</f>
        <v>0.19</v>
      </c>
      <c r="AN528" s="27">
        <f>HYPERLINK("[N&amp;P with New retention and Differentiation.xlsx]'Lake P Results'!AF74", 0.19)</f>
        <v>0.19</v>
      </c>
      <c r="AO528" s="18"/>
      <c r="AP528" s="18"/>
      <c r="AQ528" s="26">
        <f>HYPERLINK("[N&amp;P Old retention.xlsx]'Lake P Results'!AH74", 679.99999999989)</f>
        <v>679.99999999988995</v>
      </c>
      <c r="AR528" s="26">
        <f>HYPERLINK("[N&amp;P New retention.xlsx]'Lake P Results'!AH74", 679.99999999989)</f>
        <v>679.99999999988995</v>
      </c>
      <c r="AS528" s="26">
        <f>HYPERLINK("[N&amp;P with New retention and Differentiation.xlsx]'Lake P Results'!AH74", 679.99999999989)</f>
        <v>679.99999999988995</v>
      </c>
      <c r="AT528" s="18"/>
      <c r="AU528" s="18"/>
      <c r="AV528" s="27">
        <f>HYPERLINK("[N&amp;P Old retention.xlsx]'Lake P Results'!M74", 703.08)</f>
        <v>703.08</v>
      </c>
      <c r="AW528" s="27">
        <f>HYPERLINK("[N&amp;P New retention.xlsx]'Lake P Results'!M74", 703.08)</f>
        <v>703.08</v>
      </c>
      <c r="AX528" s="27">
        <f>HYPERLINK("[N&amp;P with New retention and Differentiation.xlsx]'Lake P Results'!M74", 703.08)</f>
        <v>703.08</v>
      </c>
      <c r="AY528" s="18"/>
      <c r="AZ528" s="18"/>
      <c r="BA528" s="27">
        <f>HYPERLINK("[N&amp;P Old retention.xlsx]'Lake P Results'!O74", 6.648)</f>
        <v>6.6479999999999997</v>
      </c>
      <c r="BB528" s="27">
        <f>HYPERLINK("[N&amp;P New retention.xlsx]'Lake P Results'!O74", 6.648)</f>
        <v>6.6479999999999997</v>
      </c>
      <c r="BC528" s="27">
        <f>HYPERLINK("[N&amp;P with New retention and Differentiation.xlsx]'Lake P Results'!O74", 6.648)</f>
        <v>6.6479999999999997</v>
      </c>
      <c r="BD528" s="18"/>
      <c r="BE528" s="18"/>
      <c r="BF528" s="27">
        <f>HYPERLINK("[N&amp;P Old retention.xlsx]'Lake P Results'!R74", 0.096)</f>
        <v>9.6000000000000002E-2</v>
      </c>
      <c r="BG528" s="27">
        <f>HYPERLINK("[N&amp;P New retention.xlsx]'Lake P Results'!R74", 0.096)</f>
        <v>9.6000000000000002E-2</v>
      </c>
      <c r="BH528" s="27">
        <f>HYPERLINK("[N&amp;P with New retention and Differentiation.xlsx]'Lake P Results'!R74", 0.096)</f>
        <v>9.6000000000000002E-2</v>
      </c>
      <c r="BI528" s="18"/>
      <c r="BJ528" s="18"/>
      <c r="BK528" s="18"/>
      <c r="BL528" s="18"/>
      <c r="BM528" s="18"/>
      <c r="BN528" s="18"/>
      <c r="BO528" s="18"/>
    </row>
    <row r="529" spans="1:67" x14ac:dyDescent="0.55000000000000004">
      <c r="A529" s="31">
        <v>242</v>
      </c>
      <c r="B529" s="5" t="s">
        <v>388</v>
      </c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29">
        <f>HYPERLINK("[N&amp;P Old retention.xlsx]'Lake P Results'!Y75", 1.86)</f>
        <v>1.86</v>
      </c>
      <c r="S529" s="29">
        <f>HYPERLINK("[N&amp;P New retention.xlsx]'Lake P Results'!Y75", 1.86)</f>
        <v>1.86</v>
      </c>
      <c r="T529" s="29">
        <f>HYPERLINK("[N&amp;P with New retention and Differentiation.xlsx]'Lake P Results'!Y75", 1.86)</f>
        <v>1.86</v>
      </c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29">
        <f>HYPERLINK("[N&amp;P Old retention.xlsx]'Lake P Results'!M75", 39.71)</f>
        <v>39.71</v>
      </c>
      <c r="AW529" s="29">
        <f>HYPERLINK("[N&amp;P New retention.xlsx]'Lake P Results'!M75", 39.71)</f>
        <v>39.71</v>
      </c>
      <c r="AX529" s="29">
        <f>HYPERLINK("[N&amp;P with New retention and Differentiation.xlsx]'Lake P Results'!M75", 39.71)</f>
        <v>39.71</v>
      </c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</row>
    <row r="530" spans="1:67" x14ac:dyDescent="0.55000000000000004">
      <c r="A530" s="30">
        <v>248</v>
      </c>
      <c r="B530" s="6" t="s">
        <v>389</v>
      </c>
      <c r="C530" s="27">
        <f>HYPERLINK("[N&amp;P Old retention.xlsx]'Lake P Results'!AE76", 0.0999999999999998)</f>
        <v>9.9999999999999797E-2</v>
      </c>
      <c r="D530" s="27">
        <f>HYPERLINK("[N&amp;P New retention.xlsx]'Lake P Results'!AE76", 0.0999999999999998)</f>
        <v>9.9999999999999797E-2</v>
      </c>
      <c r="E530" s="27">
        <f>HYPERLINK("[N&amp;P with New retention and Differentiation.xlsx]'Lake P Results'!AE76", 0.0999999999999998)</f>
        <v>9.9999999999999797E-2</v>
      </c>
      <c r="F530" s="18"/>
      <c r="G530" s="18"/>
      <c r="H530" s="26">
        <f>HYPERLINK("[N&amp;P Old retention.xlsx]'Lake P Results'!AM76", 100)</f>
        <v>100</v>
      </c>
      <c r="I530" s="26">
        <f>HYPERLINK("[N&amp;P New retention.xlsx]'Lake P Results'!AM76", 100)</f>
        <v>100</v>
      </c>
      <c r="J530" s="26">
        <f>HYPERLINK("[N&amp;P with New retention and Differentiation.xlsx]'Lake P Results'!AM76", 100)</f>
        <v>100</v>
      </c>
      <c r="K530" s="18"/>
      <c r="L530" s="18"/>
      <c r="M530" s="27">
        <f>HYPERLINK("[N&amp;P Old retention.xlsx]'Lake P Results'!AC76", 40.24)</f>
        <v>40.24</v>
      </c>
      <c r="N530" s="27">
        <f>HYPERLINK("[N&amp;P New retention.xlsx]'Lake P Results'!AC76", 42.586)</f>
        <v>42.585999999999999</v>
      </c>
      <c r="O530" s="27">
        <f>HYPERLINK("[N&amp;P with New retention and Differentiation.xlsx]'Lake P Results'!AC76", 27.648)</f>
        <v>27.648</v>
      </c>
      <c r="P530" s="46">
        <f>N530-M530</f>
        <v>2.3459999999999965</v>
      </c>
      <c r="Q530" s="47">
        <f>O530-M530</f>
        <v>-12.592000000000002</v>
      </c>
      <c r="R530" s="27">
        <f>HYPERLINK("[N&amp;P Old retention.xlsx]'Lake P Results'!Y76", 4.52)</f>
        <v>4.5199999999999996</v>
      </c>
      <c r="S530" s="27">
        <f>HYPERLINK("[N&amp;P New retention.xlsx]'Lake P Results'!Y76", 0.88)</f>
        <v>0.88</v>
      </c>
      <c r="T530" s="27">
        <f>HYPERLINK("[N&amp;P with New retention and Differentiation.xlsx]'Lake P Results'!Y76", 7.85)</f>
        <v>7.85</v>
      </c>
      <c r="U530" s="47">
        <f>S530-R530</f>
        <v>-3.6399999999999997</v>
      </c>
      <c r="V530" s="46">
        <f>T530-R530</f>
        <v>3.33</v>
      </c>
      <c r="W530" s="27">
        <f>HYPERLINK("[N&amp;P Old retention.xlsx]'Lake P Results'!V76", 5.61)</f>
        <v>5.61</v>
      </c>
      <c r="X530" s="27">
        <f>HYPERLINK("[N&amp;P New retention.xlsx]'Lake P Results'!V76", 12.81)</f>
        <v>12.81</v>
      </c>
      <c r="Y530" s="18"/>
      <c r="Z530" s="46">
        <f>X530-W530</f>
        <v>7.2</v>
      </c>
      <c r="AA530" s="47">
        <f>Y530-W530</f>
        <v>-5.61</v>
      </c>
      <c r="AB530" s="27">
        <f>HYPERLINK("[N&amp;P Old retention.xlsx]'Lake P Results'!Z76", 16.65)</f>
        <v>16.649999999999999</v>
      </c>
      <c r="AC530" s="27">
        <f>HYPERLINK("[N&amp;P New retention.xlsx]'Lake P Results'!Z76", 13.864)</f>
        <v>13.864000000000001</v>
      </c>
      <c r="AD530" s="27">
        <f>HYPERLINK("[N&amp;P with New retention and Differentiation.xlsx]'Lake P Results'!Z76", 15.194)</f>
        <v>15.194000000000001</v>
      </c>
      <c r="AE530" s="47">
        <f>AC530-AB530</f>
        <v>-2.7859999999999978</v>
      </c>
      <c r="AF530" s="47">
        <f>AD530-AB530</f>
        <v>-1.4559999999999977</v>
      </c>
      <c r="AG530" s="27">
        <f>HYPERLINK("[N&amp;P Old retention.xlsx]'Lake P Results'!AA76", 18.312)</f>
        <v>18.312000000000001</v>
      </c>
      <c r="AH530" s="27">
        <f>HYPERLINK("[N&amp;P New retention.xlsx]'Lake P Results'!AA76", 17.162)</f>
        <v>17.161999999999999</v>
      </c>
      <c r="AI530" s="27">
        <f>HYPERLINK("[N&amp;P with New retention and Differentiation.xlsx]'Lake P Results'!AA76", 14.216)</f>
        <v>14.215999999999999</v>
      </c>
      <c r="AJ530" s="47">
        <f>AH530-AG530</f>
        <v>-1.1500000000000021</v>
      </c>
      <c r="AK530" s="47">
        <f>AI530-AG530</f>
        <v>-4.0960000000000019</v>
      </c>
      <c r="AL530" s="18"/>
      <c r="AM530" s="18"/>
      <c r="AN530" s="18"/>
      <c r="AO530" s="18"/>
      <c r="AP530" s="18"/>
      <c r="AQ530" s="26">
        <f>HYPERLINK("[N&amp;P Old retention.xlsx]'Lake P Results'!AH76", 100)</f>
        <v>100</v>
      </c>
      <c r="AR530" s="26">
        <f>HYPERLINK("[N&amp;P New retention.xlsx]'Lake P Results'!AH76", 100)</f>
        <v>100</v>
      </c>
      <c r="AS530" s="26">
        <f>HYPERLINK("[N&amp;P with New retention and Differentiation.xlsx]'Lake P Results'!AH76", 100)</f>
        <v>100</v>
      </c>
      <c r="AT530" s="18"/>
      <c r="AU530" s="18"/>
      <c r="AV530" s="27">
        <f>HYPERLINK("[N&amp;P Old retention.xlsx]'Lake P Results'!M76", 61.14)</f>
        <v>61.14</v>
      </c>
      <c r="AW530" s="27">
        <f>HYPERLINK("[N&amp;P New retention.xlsx]'Lake P Results'!M76", 68.17)</f>
        <v>68.17</v>
      </c>
      <c r="AX530" s="27">
        <f>HYPERLINK("[N&amp;P with New retention and Differentiation.xlsx]'Lake P Results'!M76", 64.8)</f>
        <v>64.8</v>
      </c>
      <c r="AY530" s="46">
        <f>AW530-AV530</f>
        <v>7.0300000000000011</v>
      </c>
      <c r="AZ530" s="46">
        <f>AX530-AV530</f>
        <v>3.6599999999999966</v>
      </c>
      <c r="BA530" s="27">
        <f>HYPERLINK("[N&amp;P Old retention.xlsx]'Lake P Results'!O76", 9.092)</f>
        <v>9.0920000000000005</v>
      </c>
      <c r="BB530" s="27">
        <f>HYPERLINK("[N&amp;P New retention.xlsx]'Lake P Results'!O76", 10.092)</f>
        <v>10.092000000000001</v>
      </c>
      <c r="BC530" s="27">
        <f>HYPERLINK("[N&amp;P with New retention and Differentiation.xlsx]'Lake P Results'!O76", 7.552)</f>
        <v>7.5519999999999996</v>
      </c>
      <c r="BD530" s="46">
        <f>BB530-BA530</f>
        <v>1</v>
      </c>
      <c r="BE530" s="47">
        <f>BC530-BA530</f>
        <v>-1.5400000000000009</v>
      </c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</row>
    <row r="531" spans="1:67" x14ac:dyDescent="0.55000000000000004">
      <c r="A531" s="31">
        <v>252</v>
      </c>
      <c r="B531" s="5" t="s">
        <v>390</v>
      </c>
      <c r="C531" s="13"/>
      <c r="D531" s="13"/>
      <c r="E531" s="13"/>
      <c r="F531" s="13"/>
      <c r="G531" s="13"/>
      <c r="H531" s="28">
        <f>HYPERLINK("[N&amp;P Old retention.xlsx]'Lake P Results'!AM77", 800)</f>
        <v>800</v>
      </c>
      <c r="I531" s="28">
        <f>HYPERLINK("[N&amp;P New retention.xlsx]'Lake P Results'!AM77", 800)</f>
        <v>800</v>
      </c>
      <c r="J531" s="28">
        <f>HYPERLINK("[N&amp;P with New retention and Differentiation.xlsx]'Lake P Results'!AM77", 800)</f>
        <v>800</v>
      </c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29">
        <f>HYPERLINK("[N&amp;P Old retention.xlsx]'Lake P Results'!O77", 41.61)</f>
        <v>41.61</v>
      </c>
      <c r="BB531" s="29">
        <f>HYPERLINK("[N&amp;P New retention.xlsx]'Lake P Results'!O77", 33.99)</f>
        <v>33.99</v>
      </c>
      <c r="BC531" s="29">
        <f>HYPERLINK("[N&amp;P with New retention and Differentiation.xlsx]'Lake P Results'!O77", 33.99)</f>
        <v>33.99</v>
      </c>
      <c r="BD531" s="47">
        <f>BB531-BA531</f>
        <v>-7.6199999999999974</v>
      </c>
      <c r="BE531" s="47">
        <f>BC531-BA531</f>
        <v>-7.6199999999999974</v>
      </c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</row>
    <row r="532" spans="1:67" x14ac:dyDescent="0.55000000000000004">
      <c r="A532" s="30">
        <v>255</v>
      </c>
      <c r="B532" s="6" t="s">
        <v>391</v>
      </c>
      <c r="C532" s="18"/>
      <c r="D532" s="18"/>
      <c r="E532" s="18"/>
      <c r="F532" s="18"/>
      <c r="G532" s="18"/>
      <c r="H532" s="26">
        <f>HYPERLINK("[N&amp;P Old retention.xlsx]'Lake P Results'!AM78", 2500)</f>
        <v>2500</v>
      </c>
      <c r="I532" s="26">
        <f>HYPERLINK("[N&amp;P New retention.xlsx]'Lake P Results'!AM78", 2500)</f>
        <v>2500</v>
      </c>
      <c r="J532" s="26">
        <f>HYPERLINK("[N&amp;P with New retention and Differentiation.xlsx]'Lake P Results'!AM78", 2500)</f>
        <v>2500</v>
      </c>
      <c r="K532" s="18"/>
      <c r="L532" s="18"/>
      <c r="M532" s="27">
        <f>HYPERLINK("[N&amp;P Old retention.xlsx]'Lake P Results'!AC78", 6.52)</f>
        <v>6.52</v>
      </c>
      <c r="N532" s="27">
        <f>HYPERLINK("[N&amp;P New retention.xlsx]'Lake P Results'!AC78", 6.52)</f>
        <v>6.52</v>
      </c>
      <c r="O532" s="27">
        <f>HYPERLINK("[N&amp;P with New retention and Differentiation.xlsx]'Lake P Results'!AC78", 11.98)</f>
        <v>11.98</v>
      </c>
      <c r="P532" s="18"/>
      <c r="Q532" s="46">
        <f>O532-M532</f>
        <v>5.4600000000000009</v>
      </c>
      <c r="R532" s="18"/>
      <c r="S532" s="27">
        <f>HYPERLINK("[N&amp;P New retention.xlsx]'Lake P Results'!Y78", 5.46)</f>
        <v>5.46</v>
      </c>
      <c r="T532" s="18"/>
      <c r="U532" s="46">
        <f>S532-R532</f>
        <v>5.46</v>
      </c>
      <c r="V532" s="18"/>
      <c r="W532" s="18"/>
      <c r="X532" s="18"/>
      <c r="Y532" s="18"/>
      <c r="Z532" s="18"/>
      <c r="AA532" s="18"/>
      <c r="AB532" s="27">
        <f>HYPERLINK("[N&amp;P Old retention.xlsx]'Lake P Results'!Z78", 5.46)</f>
        <v>5.46</v>
      </c>
      <c r="AC532" s="18"/>
      <c r="AD532" s="18"/>
      <c r="AE532" s="47">
        <f>AC532-AB532</f>
        <v>-5.46</v>
      </c>
      <c r="AF532" s="47">
        <f>AD532-AB532</f>
        <v>-5.46</v>
      </c>
      <c r="AG532" s="27">
        <f>HYPERLINK("[N&amp;P Old retention.xlsx]'Lake P Results'!AA78", 1.45)</f>
        <v>1.45</v>
      </c>
      <c r="AH532" s="27">
        <f>HYPERLINK("[N&amp;P New retention.xlsx]'Lake P Results'!AA78", 1.45)</f>
        <v>1.45</v>
      </c>
      <c r="AI532" s="27">
        <f>HYPERLINK("[N&amp;P with New retention and Differentiation.xlsx]'Lake P Results'!AA78", 1.45)</f>
        <v>1.45</v>
      </c>
      <c r="AJ532" s="18"/>
      <c r="AK532" s="18"/>
      <c r="AL532" s="18"/>
      <c r="AM532" s="18"/>
      <c r="AN532" s="18"/>
      <c r="AO532" s="18"/>
      <c r="AP532" s="18"/>
      <c r="AQ532" s="26">
        <f>HYPERLINK("[N&amp;P Old retention.xlsx]'Lake P Results'!AH78", 20)</f>
        <v>20</v>
      </c>
      <c r="AR532" s="26">
        <f>HYPERLINK("[N&amp;P New retention.xlsx]'Lake P Results'!AH78", 20)</f>
        <v>20</v>
      </c>
      <c r="AS532" s="26">
        <f>HYPERLINK("[N&amp;P with New retention and Differentiation.xlsx]'Lake P Results'!AH78", 20)</f>
        <v>20</v>
      </c>
      <c r="AT532" s="18"/>
      <c r="AU532" s="18"/>
      <c r="AV532" s="18"/>
      <c r="AW532" s="18"/>
      <c r="AX532" s="18"/>
      <c r="AY532" s="18"/>
      <c r="AZ532" s="18"/>
      <c r="BA532" s="27">
        <f>HYPERLINK("[N&amp;P Old retention.xlsx]'Lake P Results'!O78", 72.488)</f>
        <v>72.488</v>
      </c>
      <c r="BB532" s="27">
        <f>HYPERLINK("[N&amp;P New retention.xlsx]'Lake P Results'!O78", 72.488)</f>
        <v>72.488</v>
      </c>
      <c r="BC532" s="27">
        <f>HYPERLINK("[N&amp;P with New retention and Differentiation.xlsx]'Lake P Results'!O78", 72.488)</f>
        <v>72.488</v>
      </c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</row>
    <row r="533" spans="1:67" x14ac:dyDescent="0.55000000000000004">
      <c r="A533" s="31">
        <v>256</v>
      </c>
      <c r="B533" s="5" t="s">
        <v>392</v>
      </c>
      <c r="C533" s="13"/>
      <c r="D533" s="13"/>
      <c r="E533" s="13"/>
      <c r="F533" s="13"/>
      <c r="G533" s="13"/>
      <c r="H533" s="28">
        <f>HYPERLINK("[N&amp;P Old retention.xlsx]'Lake P Results'!AM79", 400)</f>
        <v>400</v>
      </c>
      <c r="I533" s="28">
        <f>HYPERLINK("[N&amp;P New retention.xlsx]'Lake P Results'!AM79", 400)</f>
        <v>400</v>
      </c>
      <c r="J533" s="28">
        <f>HYPERLINK("[N&amp;P with New retention and Differentiation.xlsx]'Lake P Results'!AM79", 400)</f>
        <v>400</v>
      </c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29">
        <f>HYPERLINK("[N&amp;P Old retention.xlsx]'Lake P Results'!R79", 0.018)</f>
        <v>1.7999999999999999E-2</v>
      </c>
      <c r="BG533" s="29">
        <f>HYPERLINK("[N&amp;P New retention.xlsx]'Lake P Results'!R79", 0.018)</f>
        <v>1.7999999999999999E-2</v>
      </c>
      <c r="BH533" s="29">
        <f>HYPERLINK("[N&amp;P with New retention and Differentiation.xlsx]'Lake P Results'!R79", 0.018)</f>
        <v>1.7999999999999999E-2</v>
      </c>
      <c r="BI533" s="13"/>
      <c r="BJ533" s="13"/>
      <c r="BK533" s="13"/>
      <c r="BL533" s="13"/>
      <c r="BM533" s="13"/>
      <c r="BN533" s="13"/>
      <c r="BO533" s="13"/>
    </row>
    <row r="534" spans="1:67" x14ac:dyDescent="0.55000000000000004">
      <c r="A534" s="30">
        <v>258</v>
      </c>
      <c r="B534" s="6" t="s">
        <v>393</v>
      </c>
      <c r="C534" s="27">
        <f>HYPERLINK("[N&amp;P Old retention.xlsx]'Lake P Results'!AE80", 8.8052667819223)</f>
        <v>8.8052667819223007</v>
      </c>
      <c r="D534" s="27">
        <f>HYPERLINK("[N&amp;P New retention.xlsx]'Lake P Results'!AE80", 9.1152667819223)</f>
        <v>9.1152667819222994</v>
      </c>
      <c r="E534" s="27">
        <f>HYPERLINK("[N&amp;P with New retention and Differentiation.xlsx]'Lake P Results'!AE80", 9.1152667819223)</f>
        <v>9.1152667819222994</v>
      </c>
      <c r="F534" s="46">
        <f>D534-C534</f>
        <v>0.30999999999999872</v>
      </c>
      <c r="G534" s="46">
        <f>E534-C534</f>
        <v>0.30999999999999872</v>
      </c>
      <c r="H534" s="26">
        <f>HYPERLINK("[N&amp;P Old retention.xlsx]'Lake P Results'!AM80", 13700)</f>
        <v>13700</v>
      </c>
      <c r="I534" s="26">
        <f>HYPERLINK("[N&amp;P New retention.xlsx]'Lake P Results'!AM80", 13500)</f>
        <v>13500</v>
      </c>
      <c r="J534" s="26">
        <f>HYPERLINK("[N&amp;P with New retention and Differentiation.xlsx]'Lake P Results'!AM80", 13500)</f>
        <v>13500</v>
      </c>
      <c r="K534" s="21">
        <f>I534-H534</f>
        <v>-200</v>
      </c>
      <c r="L534" s="21">
        <f>J534-H534</f>
        <v>-200</v>
      </c>
      <c r="M534" s="27">
        <f>HYPERLINK("[N&amp;P Old retention.xlsx]'Lake P Results'!AC80", 0.0600000000000001)</f>
        <v>6.0000000000000102E-2</v>
      </c>
      <c r="N534" s="27">
        <f>HYPERLINK("[N&amp;P New retention.xlsx]'Lake P Results'!AC80", 0.0600000000000001)</f>
        <v>6.0000000000000102E-2</v>
      </c>
      <c r="O534" s="27">
        <f>HYPERLINK("[N&amp;P with New retention and Differentiation.xlsx]'Lake P Results'!AC80", 0.0600000000000001)</f>
        <v>6.0000000000000102E-2</v>
      </c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27">
        <f>HYPERLINK("[N&amp;P Old retention.xlsx]'Lake P Results'!AA80", 6.79)</f>
        <v>6.79</v>
      </c>
      <c r="AH534" s="27">
        <f>HYPERLINK("[N&amp;P New retention.xlsx]'Lake P Results'!AA80", 0.780000000000001)</f>
        <v>0.78000000000000103</v>
      </c>
      <c r="AI534" s="27">
        <f>HYPERLINK("[N&amp;P with New retention and Differentiation.xlsx]'Lake P Results'!AA80", 6.79)</f>
        <v>6.79</v>
      </c>
      <c r="AJ534" s="47">
        <f>AH534-AG534</f>
        <v>-6.0099999999999989</v>
      </c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27">
        <f>HYPERLINK("[N&amp;P Old retention.xlsx]'Lake P Results'!M80", 191.33)</f>
        <v>191.33</v>
      </c>
      <c r="AW534" s="18"/>
      <c r="AX534" s="18"/>
      <c r="AY534" s="47">
        <f>AW534-AV534</f>
        <v>-191.33</v>
      </c>
      <c r="AZ534" s="47">
        <f>AX534-AV534</f>
        <v>-191.33</v>
      </c>
      <c r="BA534" s="18"/>
      <c r="BB534" s="18"/>
      <c r="BC534" s="18"/>
      <c r="BD534" s="18"/>
      <c r="BE534" s="18"/>
      <c r="BF534" s="27">
        <f>HYPERLINK("[N&amp;P Old retention.xlsx]'Lake P Results'!R80", 0.14)</f>
        <v>0.14000000000000001</v>
      </c>
      <c r="BG534" s="18"/>
      <c r="BH534" s="18"/>
      <c r="BI534" s="47">
        <f>BG534-BF534</f>
        <v>-0.14000000000000001</v>
      </c>
      <c r="BJ534" s="47">
        <f>BH534-BF534</f>
        <v>-0.14000000000000001</v>
      </c>
      <c r="BK534" s="27">
        <f>HYPERLINK("[N&amp;P Old retention.xlsx]'Lake P Results'!Q80", 1.82)</f>
        <v>1.82</v>
      </c>
      <c r="BL534" s="27">
        <f>HYPERLINK("[N&amp;P New retention.xlsx]'Lake P Results'!Q80", 1.68)</f>
        <v>1.68</v>
      </c>
      <c r="BM534" s="27">
        <f>HYPERLINK("[N&amp;P with New retention and Differentiation.xlsx]'Lake P Results'!Q80", 1.68)</f>
        <v>1.68</v>
      </c>
      <c r="BN534" s="47">
        <f>BL534-BK534</f>
        <v>-0.14000000000000012</v>
      </c>
      <c r="BO534" s="47">
        <f>BM534-BK534</f>
        <v>-0.14000000000000012</v>
      </c>
    </row>
    <row r="535" spans="1:67" x14ac:dyDescent="0.55000000000000004">
      <c r="A535" s="31">
        <v>260</v>
      </c>
      <c r="B535" s="5" t="s">
        <v>394</v>
      </c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29">
        <f>HYPERLINK("[N&amp;P Old retention.xlsx]'Lake P Results'!M81", 43.846)</f>
        <v>43.845999999999997</v>
      </c>
      <c r="AW535" s="29">
        <f>HYPERLINK("[N&amp;P New retention.xlsx]'Lake P Results'!M81", 43.846)</f>
        <v>43.845999999999997</v>
      </c>
      <c r="AX535" s="29">
        <f>HYPERLINK("[N&amp;P with New retention and Differentiation.xlsx]'Lake P Results'!M81", 43.846)</f>
        <v>43.845999999999997</v>
      </c>
      <c r="AY535" s="13"/>
      <c r="AZ535" s="13"/>
      <c r="BA535" s="29">
        <f>HYPERLINK("[N&amp;P Old retention.xlsx]'Lake P Results'!O81", 13.42)</f>
        <v>13.42</v>
      </c>
      <c r="BB535" s="29">
        <f>HYPERLINK("[N&amp;P New retention.xlsx]'Lake P Results'!O81", 13.42)</f>
        <v>13.42</v>
      </c>
      <c r="BC535" s="29">
        <f>HYPERLINK("[N&amp;P with New retention and Differentiation.xlsx]'Lake P Results'!O81", 13.42)</f>
        <v>13.42</v>
      </c>
      <c r="BD535" s="13"/>
      <c r="BE535" s="13"/>
      <c r="BF535" s="29">
        <f>HYPERLINK("[N&amp;P Old retention.xlsx]'Lake P Results'!R81", 2.456)</f>
        <v>2.456</v>
      </c>
      <c r="BG535" s="29">
        <f>HYPERLINK("[N&amp;P New retention.xlsx]'Lake P Results'!R81", 2.456)</f>
        <v>2.456</v>
      </c>
      <c r="BH535" s="29">
        <f>HYPERLINK("[N&amp;P with New retention and Differentiation.xlsx]'Lake P Results'!R81", 2.456)</f>
        <v>2.456</v>
      </c>
      <c r="BI535" s="13"/>
      <c r="BJ535" s="13"/>
      <c r="BK535" s="29">
        <f>HYPERLINK("[N&amp;P Old retention.xlsx]'Lake P Results'!Q81", 2.498)</f>
        <v>2.4980000000000002</v>
      </c>
      <c r="BL535" s="29">
        <f>HYPERLINK("[N&amp;P New retention.xlsx]'Lake P Results'!Q81", 3.434)</f>
        <v>3.4340000000000002</v>
      </c>
      <c r="BM535" s="29">
        <f>HYPERLINK("[N&amp;P with New retention and Differentiation.xlsx]'Lake P Results'!Q81", 3.434)</f>
        <v>3.4340000000000002</v>
      </c>
      <c r="BN535" s="46">
        <f>BL535-BK535</f>
        <v>0.93599999999999994</v>
      </c>
      <c r="BO535" s="46">
        <f>BM535-BK535</f>
        <v>0.93599999999999994</v>
      </c>
    </row>
    <row r="536" spans="1:67" x14ac:dyDescent="0.55000000000000004">
      <c r="A536" s="30">
        <v>265</v>
      </c>
      <c r="B536" s="6" t="s">
        <v>395</v>
      </c>
      <c r="C536" s="27">
        <f>HYPERLINK("[N&amp;P Old retention.xlsx]'Lake P Results'!AE82", 4.978)</f>
        <v>4.9779999999999998</v>
      </c>
      <c r="D536" s="27">
        <f>HYPERLINK("[N&amp;P New retention.xlsx]'Lake P Results'!AE82", 4.978)</f>
        <v>4.9779999999999998</v>
      </c>
      <c r="E536" s="27">
        <f>HYPERLINK("[N&amp;P with New retention and Differentiation.xlsx]'Lake P Results'!AE82", 4.978)</f>
        <v>4.9779999999999998</v>
      </c>
      <c r="F536" s="18"/>
      <c r="G536" s="18"/>
      <c r="H536" s="26">
        <f>HYPERLINK("[N&amp;P Old retention.xlsx]'Lake P Results'!AM82", 13500)</f>
        <v>13500</v>
      </c>
      <c r="I536" s="26">
        <f>HYPERLINK("[N&amp;P New retention.xlsx]'Lake P Results'!AM82", 13500)</f>
        <v>13500</v>
      </c>
      <c r="J536" s="26">
        <f>HYPERLINK("[N&amp;P with New retention and Differentiation.xlsx]'Lake P Results'!AM82", 13500)</f>
        <v>13500</v>
      </c>
      <c r="K536" s="18"/>
      <c r="L536" s="18"/>
      <c r="M536" s="27">
        <f>HYPERLINK("[N&amp;P Old retention.xlsx]'Lake P Results'!AC82", 0.62)</f>
        <v>0.62</v>
      </c>
      <c r="N536" s="27">
        <f>HYPERLINK("[N&amp;P New retention.xlsx]'Lake P Results'!AC82", 0.62)</f>
        <v>0.62</v>
      </c>
      <c r="O536" s="27">
        <f>HYPERLINK("[N&amp;P with New retention and Differentiation.xlsx]'Lake P Results'!AC82", 0.62)</f>
        <v>0.62</v>
      </c>
      <c r="P536" s="18"/>
      <c r="Q536" s="18"/>
      <c r="R536" s="27">
        <f>HYPERLINK("[N&amp;P Old retention.xlsx]'Lake P Results'!Y82", 8.03)</f>
        <v>8.0299999999999994</v>
      </c>
      <c r="S536" s="27">
        <f>HYPERLINK("[N&amp;P New retention.xlsx]'Lake P Results'!Y82", 8.03)</f>
        <v>8.0299999999999994</v>
      </c>
      <c r="T536" s="27">
        <f>HYPERLINK("[N&amp;P with New retention and Differentiation.xlsx]'Lake P Results'!Y82", 8.03)</f>
        <v>8.0299999999999994</v>
      </c>
      <c r="U536" s="18"/>
      <c r="V536" s="18"/>
      <c r="W536" s="18"/>
      <c r="X536" s="18"/>
      <c r="Y536" s="18"/>
      <c r="Z536" s="18"/>
      <c r="AA536" s="18"/>
      <c r="AB536" s="27">
        <f>HYPERLINK("[N&amp;P Old retention.xlsx]'Lake P Results'!Z82", 3.19)</f>
        <v>3.19</v>
      </c>
      <c r="AC536" s="27">
        <f>HYPERLINK("[N&amp;P New retention.xlsx]'Lake P Results'!Z82", 3.19)</f>
        <v>3.19</v>
      </c>
      <c r="AD536" s="27">
        <f>HYPERLINK("[N&amp;P with New retention and Differentiation.xlsx]'Lake P Results'!Z82", 3.19)</f>
        <v>3.19</v>
      </c>
      <c r="AE536" s="18"/>
      <c r="AF536" s="18"/>
      <c r="AG536" s="18"/>
      <c r="AH536" s="18"/>
      <c r="AI536" s="18"/>
      <c r="AJ536" s="18"/>
      <c r="AK536" s="18"/>
      <c r="AL536" s="27">
        <f>HYPERLINK("[N&amp;P Old retention.xlsx]'Lake P Results'!AF82", 0.51)</f>
        <v>0.51</v>
      </c>
      <c r="AM536" s="27">
        <f>HYPERLINK("[N&amp;P New retention.xlsx]'Lake P Results'!AF82", 0.51)</f>
        <v>0.51</v>
      </c>
      <c r="AN536" s="27">
        <f>HYPERLINK("[N&amp;P with New retention and Differentiation.xlsx]'Lake P Results'!AF82", 0.51)</f>
        <v>0.51</v>
      </c>
      <c r="AO536" s="18"/>
      <c r="AP536" s="18"/>
      <c r="AQ536" s="26">
        <f>HYPERLINK("[N&amp;P Old retention.xlsx]'Lake P Results'!AH82", 1259.99999999989)</f>
        <v>1259.99999999989</v>
      </c>
      <c r="AR536" s="26">
        <f>HYPERLINK("[N&amp;P New retention.xlsx]'Lake P Results'!AH82", 1259.99999999989)</f>
        <v>1259.99999999989</v>
      </c>
      <c r="AS536" s="26">
        <f>HYPERLINK("[N&amp;P with New retention and Differentiation.xlsx]'Lake P Results'!AH82", 1259.99999999989)</f>
        <v>1259.99999999989</v>
      </c>
      <c r="AT536" s="18"/>
      <c r="AU536" s="18"/>
      <c r="AV536" s="18"/>
      <c r="AW536" s="18"/>
      <c r="AX536" s="18"/>
      <c r="AY536" s="18"/>
      <c r="AZ536" s="18"/>
      <c r="BA536" s="27">
        <f>HYPERLINK("[N&amp;P Old retention.xlsx]'Lake P Results'!O82", 1240.446)</f>
        <v>1240.4459999999999</v>
      </c>
      <c r="BB536" s="27">
        <f>HYPERLINK("[N&amp;P New retention.xlsx]'Lake P Results'!O82", 1240.446)</f>
        <v>1240.4459999999999</v>
      </c>
      <c r="BC536" s="27">
        <f>HYPERLINK("[N&amp;P with New retention and Differentiation.xlsx]'Lake P Results'!O82", 1240.446)</f>
        <v>1240.4459999999999</v>
      </c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</row>
    <row r="537" spans="1:67" x14ac:dyDescent="0.55000000000000004">
      <c r="A537" s="31">
        <v>268</v>
      </c>
      <c r="B537" s="5" t="s">
        <v>396</v>
      </c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</row>
    <row r="538" spans="1:67" x14ac:dyDescent="0.55000000000000004">
      <c r="A538" s="30">
        <v>269</v>
      </c>
      <c r="B538" s="6" t="s">
        <v>397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</row>
    <row r="539" spans="1:67" x14ac:dyDescent="0.55000000000000004">
      <c r="A539" s="31">
        <v>270</v>
      </c>
      <c r="B539" s="5" t="s">
        <v>398</v>
      </c>
      <c r="C539" s="13"/>
      <c r="D539" s="13"/>
      <c r="E539" s="13"/>
      <c r="F539" s="13"/>
      <c r="G539" s="13"/>
      <c r="H539" s="28">
        <f>HYPERLINK("[N&amp;P Old retention.xlsx]'Lake P Results'!AM85", 1200)</f>
        <v>1200</v>
      </c>
      <c r="I539" s="28">
        <f>HYPERLINK("[N&amp;P New retention.xlsx]'Lake P Results'!AM85", 1200)</f>
        <v>1200</v>
      </c>
      <c r="J539" s="28">
        <f>HYPERLINK("[N&amp;P with New retention and Differentiation.xlsx]'Lake P Results'!AM85", 1300)</f>
        <v>1300</v>
      </c>
      <c r="K539" s="13"/>
      <c r="L539" s="16">
        <f>J539-H539</f>
        <v>100</v>
      </c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</row>
    <row r="540" spans="1:67" x14ac:dyDescent="0.55000000000000004">
      <c r="A540" s="30">
        <v>271</v>
      </c>
      <c r="B540" s="6" t="s">
        <v>399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27">
        <f>HYPERLINK("[N&amp;P Old retention.xlsx]'Lake P Results'!M86", 4.712)</f>
        <v>4.7119999999999997</v>
      </c>
      <c r="AW540" s="18"/>
      <c r="AX540" s="18"/>
      <c r="AY540" s="47">
        <f>AW540-AV540</f>
        <v>-4.7119999999999997</v>
      </c>
      <c r="AZ540" s="47">
        <f>AX540-AV540</f>
        <v>-4.7119999999999997</v>
      </c>
      <c r="BA540" s="18"/>
      <c r="BB540" s="18"/>
      <c r="BC540" s="18"/>
      <c r="BD540" s="18"/>
      <c r="BE540" s="18"/>
      <c r="BF540" s="27">
        <f>HYPERLINK("[N&amp;P Old retention.xlsx]'Lake P Results'!R86", 0.0219999999999999)</f>
        <v>2.1999999999999902E-2</v>
      </c>
      <c r="BG540" s="27">
        <f>HYPERLINK("[N&amp;P New retention.xlsx]'Lake P Results'!R86", 0.0219999999999999)</f>
        <v>2.1999999999999902E-2</v>
      </c>
      <c r="BH540" s="27">
        <f>HYPERLINK("[N&amp;P with New retention and Differentiation.xlsx]'Lake P Results'!R86", 0.0219999999999999)</f>
        <v>2.1999999999999902E-2</v>
      </c>
      <c r="BI540" s="18"/>
      <c r="BJ540" s="18"/>
      <c r="BK540" s="27">
        <f>HYPERLINK("[N&amp;P Old retention.xlsx]'Lake P Results'!Q86", 0.104)</f>
        <v>0.104</v>
      </c>
      <c r="BL540" s="27">
        <f>HYPERLINK("[N&amp;P New retention.xlsx]'Lake P Results'!Q86", 0.104)</f>
        <v>0.104</v>
      </c>
      <c r="BM540" s="27">
        <f>HYPERLINK("[N&amp;P with New retention and Differentiation.xlsx]'Lake P Results'!Q86", 0.104)</f>
        <v>0.104</v>
      </c>
      <c r="BN540" s="18"/>
      <c r="BO540" s="18"/>
    </row>
    <row r="541" spans="1:67" x14ac:dyDescent="0.55000000000000004">
      <c r="A541" s="31">
        <v>273</v>
      </c>
      <c r="B541" s="5" t="s">
        <v>400</v>
      </c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</row>
    <row r="542" spans="1:67" x14ac:dyDescent="0.55000000000000004">
      <c r="A542" s="30">
        <v>274</v>
      </c>
      <c r="B542" s="6" t="s">
        <v>401</v>
      </c>
      <c r="C542" s="18"/>
      <c r="D542" s="18"/>
      <c r="E542" s="18"/>
      <c r="F542" s="18"/>
      <c r="G542" s="18"/>
      <c r="H542" s="26">
        <f>HYPERLINK("[N&amp;P Old retention.xlsx]'Lake P Results'!AM88", 4000)</f>
        <v>4000</v>
      </c>
      <c r="I542" s="26">
        <f>HYPERLINK("[N&amp;P New retention.xlsx]'Lake P Results'!AM88", 3800)</f>
        <v>3800</v>
      </c>
      <c r="J542" s="26">
        <f>HYPERLINK("[N&amp;P with New retention and Differentiation.xlsx]'Lake P Results'!AM88", 3800)</f>
        <v>3800</v>
      </c>
      <c r="K542" s="21">
        <f>I542-H542</f>
        <v>-200</v>
      </c>
      <c r="L542" s="21">
        <f>J542-H542</f>
        <v>-200</v>
      </c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27">
        <f>HYPERLINK("[N&amp;P Old retention.xlsx]'Lake P Results'!M88", 432.942)</f>
        <v>432.94200000000001</v>
      </c>
      <c r="AW542" s="27">
        <f>HYPERLINK("[N&amp;P New retention.xlsx]'Lake P Results'!M88", 1445.742)</f>
        <v>1445.742</v>
      </c>
      <c r="AX542" s="27">
        <f>HYPERLINK("[N&amp;P with New retention and Differentiation.xlsx]'Lake P Results'!M88", 1445.742)</f>
        <v>1445.742</v>
      </c>
      <c r="AY542" s="46">
        <f>AW542-AV542</f>
        <v>1012.8</v>
      </c>
      <c r="AZ542" s="46">
        <f>AX542-AV542</f>
        <v>1012.8</v>
      </c>
      <c r="BA542" s="27">
        <f>HYPERLINK("[N&amp;P Old retention.xlsx]'Lake P Results'!O88", 45.68)</f>
        <v>45.68</v>
      </c>
      <c r="BB542" s="27">
        <f>HYPERLINK("[N&amp;P New retention.xlsx]'Lake P Results'!O88", 217.406)</f>
        <v>217.40600000000001</v>
      </c>
      <c r="BC542" s="27">
        <f>HYPERLINK("[N&amp;P with New retention and Differentiation.xlsx]'Lake P Results'!O88", 207.406)</f>
        <v>207.40600000000001</v>
      </c>
      <c r="BD542" s="46">
        <f>BB542-BA542</f>
        <v>171.726</v>
      </c>
      <c r="BE542" s="46">
        <f>BC542-BA542</f>
        <v>161.726</v>
      </c>
      <c r="BF542" s="27">
        <f>HYPERLINK("[N&amp;P Old retention.xlsx]'Lake P Results'!R88", 33.494)</f>
        <v>33.494</v>
      </c>
      <c r="BG542" s="27">
        <f>HYPERLINK("[N&amp;P New retention.xlsx]'Lake P Results'!R88", 32.674)</f>
        <v>32.673999999999999</v>
      </c>
      <c r="BH542" s="27">
        <f>HYPERLINK("[N&amp;P with New retention and Differentiation.xlsx]'Lake P Results'!R88", 32.674)</f>
        <v>32.673999999999999</v>
      </c>
      <c r="BI542" s="47">
        <f>BG542-BF542</f>
        <v>-0.82000000000000028</v>
      </c>
      <c r="BJ542" s="47">
        <f>BH542-BF542</f>
        <v>-0.82000000000000028</v>
      </c>
      <c r="BK542" s="27">
        <f>HYPERLINK("[N&amp;P Old retention.xlsx]'Lake P Results'!Q88", 0.28)</f>
        <v>0.28000000000000003</v>
      </c>
      <c r="BL542" s="18"/>
      <c r="BM542" s="18"/>
      <c r="BN542" s="47">
        <f>BL542-BK542</f>
        <v>-0.28000000000000003</v>
      </c>
      <c r="BO542" s="47">
        <f>BM542-BK542</f>
        <v>-0.28000000000000003</v>
      </c>
    </row>
    <row r="543" spans="1:67" x14ac:dyDescent="0.55000000000000004">
      <c r="A543" s="31">
        <v>285</v>
      </c>
      <c r="B543" s="5" t="s">
        <v>402</v>
      </c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</row>
    <row r="544" spans="1:67" x14ac:dyDescent="0.55000000000000004">
      <c r="A544" s="30">
        <v>286</v>
      </c>
      <c r="B544" s="6" t="s">
        <v>403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27">
        <f>HYPERLINK("[N&amp;P Old retention.xlsx]'Lake P Results'!M90", 95.49)</f>
        <v>95.49</v>
      </c>
      <c r="AW544" s="27">
        <f>HYPERLINK("[N&amp;P New retention.xlsx]'Lake P Results'!M90", 53.274)</f>
        <v>53.274000000000001</v>
      </c>
      <c r="AX544" s="27">
        <f>HYPERLINK("[N&amp;P with New retention and Differentiation.xlsx]'Lake P Results'!M90", 53.274)</f>
        <v>53.274000000000001</v>
      </c>
      <c r="AY544" s="47">
        <f>AW544-AV544</f>
        <v>-42.215999999999994</v>
      </c>
      <c r="AZ544" s="47">
        <f>AX544-AV544</f>
        <v>-42.215999999999994</v>
      </c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27">
        <f>HYPERLINK("[N&amp;P Old retention.xlsx]'Lake P Results'!Q90", 10.172)</f>
        <v>10.172000000000001</v>
      </c>
      <c r="BL544" s="27">
        <f>HYPERLINK("[N&amp;P New retention.xlsx]'Lake P Results'!Q90", 6.512)</f>
        <v>6.5119999999999996</v>
      </c>
      <c r="BM544" s="27">
        <f>HYPERLINK("[N&amp;P with New retention and Differentiation.xlsx]'Lake P Results'!Q90", 6.512)</f>
        <v>6.5119999999999996</v>
      </c>
      <c r="BN544" s="47">
        <f>BL544-BK544</f>
        <v>-3.660000000000001</v>
      </c>
      <c r="BO544" s="47">
        <f>BM544-BK544</f>
        <v>-3.660000000000001</v>
      </c>
    </row>
    <row r="545" spans="1:67" x14ac:dyDescent="0.55000000000000004">
      <c r="A545" s="31">
        <v>290</v>
      </c>
      <c r="B545" s="5" t="s">
        <v>404</v>
      </c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29">
        <f>HYPERLINK("[N&amp;P Old retention.xlsx]'Lake P Results'!M91", 5.33)</f>
        <v>5.33</v>
      </c>
      <c r="AW545" s="13"/>
      <c r="AX545" s="13"/>
      <c r="AY545" s="47">
        <f>AW545-AV545</f>
        <v>-5.33</v>
      </c>
      <c r="AZ545" s="47">
        <f>AX545-AV545</f>
        <v>-5.33</v>
      </c>
      <c r="BA545" s="13"/>
      <c r="BB545" s="13"/>
      <c r="BC545" s="13"/>
      <c r="BD545" s="13"/>
      <c r="BE545" s="13"/>
      <c r="BF545" s="29">
        <f>HYPERLINK("[N&amp;P Old retention.xlsx]'Lake P Results'!R91", 3.04)</f>
        <v>3.04</v>
      </c>
      <c r="BG545" s="29">
        <f>HYPERLINK("[N&amp;P New retention.xlsx]'Lake P Results'!R91", 2.872)</f>
        <v>2.8719999999999999</v>
      </c>
      <c r="BH545" s="29">
        <f>HYPERLINK("[N&amp;P with New retention and Differentiation.xlsx]'Lake P Results'!R91", 2.872)</f>
        <v>2.8719999999999999</v>
      </c>
      <c r="BI545" s="47">
        <f>BG545-BF545</f>
        <v>-0.16800000000000015</v>
      </c>
      <c r="BJ545" s="47">
        <f>BH545-BF545</f>
        <v>-0.16800000000000015</v>
      </c>
      <c r="BK545" s="13"/>
      <c r="BL545" s="13"/>
      <c r="BM545" s="13"/>
      <c r="BN545" s="13"/>
      <c r="BO545" s="13"/>
    </row>
    <row r="546" spans="1:67" x14ac:dyDescent="0.55000000000000004">
      <c r="A546" s="30">
        <v>294</v>
      </c>
      <c r="B546" s="6" t="s">
        <v>405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27">
        <f>HYPERLINK("[N&amp;P Old retention.xlsx]'Lake P Results'!M92", 25.41)</f>
        <v>25.41</v>
      </c>
      <c r="AW546" s="27">
        <f>HYPERLINK("[N&amp;P New retention.xlsx]'Lake P Results'!M92", 18.19)</f>
        <v>18.190000000000001</v>
      </c>
      <c r="AX546" s="27">
        <f>HYPERLINK("[N&amp;P with New retention and Differentiation.xlsx]'Lake P Results'!M92", 18.19)</f>
        <v>18.190000000000001</v>
      </c>
      <c r="AY546" s="47">
        <f>AW546-AV546</f>
        <v>-7.2199999999999989</v>
      </c>
      <c r="AZ546" s="47">
        <f>AX546-AV546</f>
        <v>-7.2199999999999989</v>
      </c>
      <c r="BA546" s="27">
        <f>HYPERLINK("[N&amp;P Old retention.xlsx]'Lake P Results'!O92", 8.25)</f>
        <v>8.25</v>
      </c>
      <c r="BB546" s="27">
        <f>HYPERLINK("[N&amp;P New retention.xlsx]'Lake P Results'!O92", 2.11)</f>
        <v>2.11</v>
      </c>
      <c r="BC546" s="27">
        <f>HYPERLINK("[N&amp;P with New retention and Differentiation.xlsx]'Lake P Results'!O92", 2.11)</f>
        <v>2.11</v>
      </c>
      <c r="BD546" s="47">
        <f>BB546-BA546</f>
        <v>-6.1400000000000006</v>
      </c>
      <c r="BE546" s="47">
        <f>BC546-BA546</f>
        <v>-6.1400000000000006</v>
      </c>
      <c r="BF546" s="27">
        <f>HYPERLINK("[N&amp;P Old retention.xlsx]'Lake P Results'!R92", 0.416)</f>
        <v>0.41599999999999998</v>
      </c>
      <c r="BG546" s="18"/>
      <c r="BH546" s="18"/>
      <c r="BI546" s="47">
        <f>BG546-BF546</f>
        <v>-0.41599999999999998</v>
      </c>
      <c r="BJ546" s="47">
        <f>BH546-BF546</f>
        <v>-0.41599999999999998</v>
      </c>
      <c r="BK546" s="18"/>
      <c r="BL546" s="27">
        <f>HYPERLINK("[N&amp;P New retention.xlsx]'Lake P Results'!Q92", 0.84)</f>
        <v>0.84</v>
      </c>
      <c r="BM546" s="27">
        <f>HYPERLINK("[N&amp;P with New retention and Differentiation.xlsx]'Lake P Results'!Q92", 0.84)</f>
        <v>0.84</v>
      </c>
      <c r="BN546" s="46">
        <f>BL546-BK546</f>
        <v>0.84</v>
      </c>
      <c r="BO546" s="46">
        <f>BM546-BK546</f>
        <v>0.84</v>
      </c>
    </row>
    <row r="547" spans="1:67" x14ac:dyDescent="0.55000000000000004">
      <c r="A547" s="31">
        <v>295</v>
      </c>
      <c r="B547" s="5" t="s">
        <v>406</v>
      </c>
      <c r="C547" s="13"/>
      <c r="D547" s="13"/>
      <c r="E547" s="13"/>
      <c r="F547" s="13"/>
      <c r="G547" s="13"/>
      <c r="H547" s="28">
        <f>HYPERLINK("[N&amp;P Old retention.xlsx]'Lake P Results'!AM93", 5600)</f>
        <v>5600</v>
      </c>
      <c r="I547" s="28">
        <f>HYPERLINK("[N&amp;P New retention.xlsx]'Lake P Results'!AM93", 5600)</f>
        <v>5600</v>
      </c>
      <c r="J547" s="28">
        <f>HYPERLINK("[N&amp;P with New retention and Differentiation.xlsx]'Lake P Results'!AM93", 5600)</f>
        <v>5600</v>
      </c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29">
        <f>HYPERLINK("[N&amp;P Old retention.xlsx]'Lake P Results'!AA93", 2.48)</f>
        <v>2.48</v>
      </c>
      <c r="AH547" s="29">
        <f>HYPERLINK("[N&amp;P New retention.xlsx]'Lake P Results'!AA93", 2.48)</f>
        <v>2.48</v>
      </c>
      <c r="AI547" s="29">
        <f>HYPERLINK("[N&amp;P with New retention and Differentiation.xlsx]'Lake P Results'!AA93", 2.48)</f>
        <v>2.48</v>
      </c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29">
        <f>HYPERLINK("[N&amp;P Old retention.xlsx]'Lake P Results'!O93", 44.47)</f>
        <v>44.47</v>
      </c>
      <c r="BB547" s="29">
        <f>HYPERLINK("[N&amp;P New retention.xlsx]'Lake P Results'!O93", 44.47)</f>
        <v>44.47</v>
      </c>
      <c r="BC547" s="29">
        <f>HYPERLINK("[N&amp;P with New retention and Differentiation.xlsx]'Lake P Results'!O93", 44.47)</f>
        <v>44.47</v>
      </c>
      <c r="BD547" s="13"/>
      <c r="BE547" s="13"/>
      <c r="BF547" s="29">
        <f>HYPERLINK("[N&amp;P Old retention.xlsx]'Lake P Results'!R93", 0.0499999999999999)</f>
        <v>4.9999999999999899E-2</v>
      </c>
      <c r="BG547" s="29">
        <f>HYPERLINK("[N&amp;P New retention.xlsx]'Lake P Results'!R93", 0.0499999999999999)</f>
        <v>4.9999999999999899E-2</v>
      </c>
      <c r="BH547" s="29">
        <f>HYPERLINK("[N&amp;P with New retention and Differentiation.xlsx]'Lake P Results'!R93", 0.0499999999999999)</f>
        <v>4.9999999999999899E-2</v>
      </c>
      <c r="BI547" s="13"/>
      <c r="BJ547" s="13"/>
      <c r="BK547" s="13"/>
      <c r="BL547" s="13"/>
      <c r="BM547" s="13"/>
      <c r="BN547" s="13"/>
      <c r="BO547" s="13"/>
    </row>
    <row r="548" spans="1:67" x14ac:dyDescent="0.55000000000000004">
      <c r="A548" s="30">
        <v>296</v>
      </c>
      <c r="B548" s="6" t="s">
        <v>407</v>
      </c>
      <c r="C548" s="27">
        <f>HYPERLINK("[N&amp;P Old retention.xlsx]'Lake P Results'!AE94", 5.696)</f>
        <v>5.6959999999999997</v>
      </c>
      <c r="D548" s="27">
        <f>HYPERLINK("[N&amp;P New retention.xlsx]'Lake P Results'!AE94", 5.696)</f>
        <v>5.6959999999999997</v>
      </c>
      <c r="E548" s="27">
        <f>HYPERLINK("[N&amp;P with New retention and Differentiation.xlsx]'Lake P Results'!AE94", 5.696)</f>
        <v>5.6959999999999997</v>
      </c>
      <c r="F548" s="18"/>
      <c r="G548" s="18"/>
      <c r="H548" s="26">
        <f>HYPERLINK("[N&amp;P Old retention.xlsx]'Lake P Results'!AM94", 45900)</f>
        <v>45900</v>
      </c>
      <c r="I548" s="26">
        <f>HYPERLINK("[N&amp;P New retention.xlsx]'Lake P Results'!AM94", 45900)</f>
        <v>45900</v>
      </c>
      <c r="J548" s="26">
        <f>HYPERLINK("[N&amp;P with New retention and Differentiation.xlsx]'Lake P Results'!AM94", 45800)</f>
        <v>45800</v>
      </c>
      <c r="K548" s="18"/>
      <c r="L548" s="21">
        <f>J548-H548</f>
        <v>-100</v>
      </c>
      <c r="M548" s="27">
        <f>HYPERLINK("[N&amp;P Old retention.xlsx]'Lake P Results'!AC94", 720.06)</f>
        <v>720.06</v>
      </c>
      <c r="N548" s="27">
        <f>HYPERLINK("[N&amp;P New retention.xlsx]'Lake P Results'!AC94", 816.266)</f>
        <v>816.26599999999996</v>
      </c>
      <c r="O548" s="27">
        <f>HYPERLINK("[N&amp;P with New retention and Differentiation.xlsx]'Lake P Results'!AC94", 790.198)</f>
        <v>790.19799999999998</v>
      </c>
      <c r="P548" s="46">
        <f>N548-M548</f>
        <v>96.206000000000017</v>
      </c>
      <c r="Q548" s="46">
        <f>O548-M548</f>
        <v>70.138000000000034</v>
      </c>
      <c r="R548" s="27">
        <f>HYPERLINK("[N&amp;P Old retention.xlsx]'Lake P Results'!Y94", 109.34)</f>
        <v>109.34</v>
      </c>
      <c r="S548" s="27">
        <f>HYPERLINK("[N&amp;P New retention.xlsx]'Lake P Results'!Y94", 134.564)</f>
        <v>134.56399999999999</v>
      </c>
      <c r="T548" s="27">
        <f>HYPERLINK("[N&amp;P with New retention and Differentiation.xlsx]'Lake P Results'!Y94", 148.232)</f>
        <v>148.232</v>
      </c>
      <c r="U548" s="46">
        <f>S548-R548</f>
        <v>25.22399999999999</v>
      </c>
      <c r="V548" s="46">
        <f>T548-R548</f>
        <v>38.891999999999996</v>
      </c>
      <c r="W548" s="27">
        <f>HYPERLINK("[N&amp;P Old retention.xlsx]'Lake P Results'!V94", 334.68)</f>
        <v>334.68</v>
      </c>
      <c r="X548" s="27">
        <f>HYPERLINK("[N&amp;P New retention.xlsx]'Lake P Results'!V94", 269.66)</f>
        <v>269.66000000000003</v>
      </c>
      <c r="Y548" s="27">
        <f>HYPERLINK("[N&amp;P with New retention and Differentiation.xlsx]'Lake P Results'!V94", 269.66)</f>
        <v>269.66000000000003</v>
      </c>
      <c r="Z548" s="47">
        <f>X548-W548</f>
        <v>-65.019999999999982</v>
      </c>
      <c r="AA548" s="47">
        <f>Y548-W548</f>
        <v>-65.019999999999982</v>
      </c>
      <c r="AB548" s="27">
        <f>HYPERLINK("[N&amp;P Old retention.xlsx]'Lake P Results'!Z94", 139.292)</f>
        <v>139.292</v>
      </c>
      <c r="AC548" s="27">
        <f>HYPERLINK("[N&amp;P New retention.xlsx]'Lake P Results'!Z94", 140.402)</f>
        <v>140.40199999999999</v>
      </c>
      <c r="AD548" s="27">
        <f>HYPERLINK("[N&amp;P with New retention and Differentiation.xlsx]'Lake P Results'!Z94", 137.712)</f>
        <v>137.71199999999999</v>
      </c>
      <c r="AE548" s="46">
        <f>AC548-AB548</f>
        <v>1.1099999999999852</v>
      </c>
      <c r="AF548" s="47">
        <f>AD548-AB548</f>
        <v>-1.5800000000000125</v>
      </c>
      <c r="AG548" s="27">
        <f>HYPERLINK("[N&amp;P Old retention.xlsx]'Lake P Results'!AA94", 42.404)</f>
        <v>42.404000000000003</v>
      </c>
      <c r="AH548" s="27">
        <f>HYPERLINK("[N&amp;P New retention.xlsx]'Lake P Results'!AA94", 42.404)</f>
        <v>42.404000000000003</v>
      </c>
      <c r="AI548" s="27">
        <f>HYPERLINK("[N&amp;P with New retention and Differentiation.xlsx]'Lake P Results'!AA94", 42.404)</f>
        <v>42.404000000000003</v>
      </c>
      <c r="AJ548" s="18"/>
      <c r="AK548" s="18"/>
      <c r="AL548" s="27">
        <f>HYPERLINK("[N&amp;P Old retention.xlsx]'Lake P Results'!AF94", 0.08)</f>
        <v>0.08</v>
      </c>
      <c r="AM548" s="27">
        <f>HYPERLINK("[N&amp;P New retention.xlsx]'Lake P Results'!AF94", 0.08)</f>
        <v>0.08</v>
      </c>
      <c r="AN548" s="27">
        <f>HYPERLINK("[N&amp;P with New retention and Differentiation.xlsx]'Lake P Results'!AF94", 0.08)</f>
        <v>0.08</v>
      </c>
      <c r="AO548" s="18"/>
      <c r="AP548" s="18"/>
      <c r="AQ548" s="26">
        <f>HYPERLINK("[N&amp;P Old retention.xlsx]'Lake P Results'!AH94", 2169.99999999392)</f>
        <v>2169.99999999392</v>
      </c>
      <c r="AR548" s="26">
        <f>HYPERLINK("[N&amp;P New retention.xlsx]'Lake P Results'!AH94", 2169.99999999392)</f>
        <v>2169.99999999392</v>
      </c>
      <c r="AS548" s="26">
        <f>HYPERLINK("[N&amp;P with New retention and Differentiation.xlsx]'Lake P Results'!AH94", 2169.99999999392)</f>
        <v>2169.99999999392</v>
      </c>
      <c r="AT548" s="18"/>
      <c r="AU548" s="18"/>
      <c r="AV548" s="27">
        <f>HYPERLINK("[N&amp;P Old retention.xlsx]'Lake P Results'!M94", 2333.4)</f>
        <v>2333.4</v>
      </c>
      <c r="AW548" s="27">
        <f>HYPERLINK("[N&amp;P New retention.xlsx]'Lake P Results'!M94", 2248.87)</f>
        <v>2248.87</v>
      </c>
      <c r="AX548" s="27">
        <f>HYPERLINK("[N&amp;P with New retention and Differentiation.xlsx]'Lake P Results'!M94", 2248.87)</f>
        <v>2248.87</v>
      </c>
      <c r="AY548" s="47">
        <f>AW548-AV548</f>
        <v>-84.5300000000002</v>
      </c>
      <c r="AZ548" s="47">
        <f>AX548-AV548</f>
        <v>-84.5300000000002</v>
      </c>
      <c r="BA548" s="27">
        <f>HYPERLINK("[N&amp;P Old retention.xlsx]'Lake P Results'!O94", 103.76)</f>
        <v>103.76</v>
      </c>
      <c r="BB548" s="27">
        <f>HYPERLINK("[N&amp;P New retention.xlsx]'Lake P Results'!O94", 91.08)</f>
        <v>91.08</v>
      </c>
      <c r="BC548" s="27">
        <f>HYPERLINK("[N&amp;P with New retention and Differentiation.xlsx]'Lake P Results'!O94", 91.08)</f>
        <v>91.08</v>
      </c>
      <c r="BD548" s="47">
        <f>BB548-BA548</f>
        <v>-12.680000000000007</v>
      </c>
      <c r="BE548" s="47">
        <f>BC548-BA548</f>
        <v>-12.680000000000007</v>
      </c>
      <c r="BF548" s="18"/>
      <c r="BG548" s="18"/>
      <c r="BH548" s="18"/>
      <c r="BI548" s="18"/>
      <c r="BJ548" s="18"/>
      <c r="BK548" s="18"/>
      <c r="BL548" s="27">
        <f>HYPERLINK("[N&amp;P New retention.xlsx]'Lake P Results'!Q94", 0.144)</f>
        <v>0.14399999999999999</v>
      </c>
      <c r="BM548" s="27">
        <f>HYPERLINK("[N&amp;P with New retention and Differentiation.xlsx]'Lake P Results'!Q94", 0.144)</f>
        <v>0.14399999999999999</v>
      </c>
      <c r="BN548" s="46">
        <f>BL548-BK548</f>
        <v>0.14399999999999999</v>
      </c>
      <c r="BO548" s="46">
        <f>BM548-BK548</f>
        <v>0.14399999999999999</v>
      </c>
    </row>
    <row r="549" spans="1:67" x14ac:dyDescent="0.55000000000000004">
      <c r="A549" s="31">
        <v>297</v>
      </c>
      <c r="B549" s="5" t="s">
        <v>408</v>
      </c>
      <c r="C549" s="13"/>
      <c r="D549" s="13"/>
      <c r="E549" s="13"/>
      <c r="F549" s="13"/>
      <c r="G549" s="13"/>
      <c r="H549" s="28">
        <f>HYPERLINK("[N&amp;P Old retention.xlsx]'Lake P Results'!AM95", 7400)</f>
        <v>7400</v>
      </c>
      <c r="I549" s="28">
        <f>HYPERLINK("[N&amp;P New retention.xlsx]'Lake P Results'!AM95", 7400)</f>
        <v>7400</v>
      </c>
      <c r="J549" s="28">
        <f>HYPERLINK("[N&amp;P with New retention and Differentiation.xlsx]'Lake P Results'!AM95", 7400)</f>
        <v>7400</v>
      </c>
      <c r="K549" s="13"/>
      <c r="L549" s="13"/>
      <c r="M549" s="29">
        <f>HYPERLINK("[N&amp;P Old retention.xlsx]'Lake P Results'!AC95", 17.082)</f>
        <v>17.082000000000001</v>
      </c>
      <c r="N549" s="29">
        <f>HYPERLINK("[N&amp;P New retention.xlsx]'Lake P Results'!AC95", 41.008)</f>
        <v>41.008000000000003</v>
      </c>
      <c r="O549" s="29">
        <f>HYPERLINK("[N&amp;P with New retention and Differentiation.xlsx]'Lake P Results'!AC95", 37.756)</f>
        <v>37.756</v>
      </c>
      <c r="P549" s="46">
        <f>N549-M549</f>
        <v>23.926000000000002</v>
      </c>
      <c r="Q549" s="46">
        <f>O549-M549</f>
        <v>20.673999999999999</v>
      </c>
      <c r="R549" s="29">
        <f>HYPERLINK("[N&amp;P Old retention.xlsx]'Lake P Results'!Y95", 26.08)</f>
        <v>26.08</v>
      </c>
      <c r="S549" s="29">
        <f>HYPERLINK("[N&amp;P New retention.xlsx]'Lake P Results'!Y95", 6.13)</f>
        <v>6.13</v>
      </c>
      <c r="T549" s="29">
        <f>HYPERLINK("[N&amp;P with New retention and Differentiation.xlsx]'Lake P Results'!Y95", 3.48)</f>
        <v>3.48</v>
      </c>
      <c r="U549" s="47">
        <f>S549-R549</f>
        <v>-19.95</v>
      </c>
      <c r="V549" s="47">
        <f>T549-R549</f>
        <v>-22.599999999999998</v>
      </c>
      <c r="W549" s="29">
        <f>HYPERLINK("[N&amp;P Old retention.xlsx]'Lake P Results'!V95", 32.58)</f>
        <v>32.58</v>
      </c>
      <c r="X549" s="29">
        <f>HYPERLINK("[N&amp;P New retention.xlsx]'Lake P Results'!V95", 32.58)</f>
        <v>32.58</v>
      </c>
      <c r="Y549" s="29">
        <f>HYPERLINK("[N&amp;P with New retention and Differentiation.xlsx]'Lake P Results'!V95", 32.58)</f>
        <v>32.58</v>
      </c>
      <c r="Z549" s="13"/>
      <c r="AA549" s="13"/>
      <c r="AB549" s="29">
        <f>HYPERLINK("[N&amp;P Old retention.xlsx]'Lake P Results'!Z95", 4.686)</f>
        <v>4.6859999999999999</v>
      </c>
      <c r="AC549" s="29">
        <f>HYPERLINK("[N&amp;P New retention.xlsx]'Lake P Results'!Z95", 0.71)</f>
        <v>0.71</v>
      </c>
      <c r="AD549" s="29">
        <f>HYPERLINK("[N&amp;P with New retention and Differentiation.xlsx]'Lake P Results'!Z95", 6.612)</f>
        <v>6.6120000000000001</v>
      </c>
      <c r="AE549" s="47">
        <f>AC549-AB549</f>
        <v>-3.976</v>
      </c>
      <c r="AF549" s="46">
        <f>AD549-AB549</f>
        <v>1.9260000000000002</v>
      </c>
      <c r="AG549" s="29">
        <f>HYPERLINK("[N&amp;P Old retention.xlsx]'Lake P Results'!AA95", 15.502)</f>
        <v>15.502000000000001</v>
      </c>
      <c r="AH549" s="29">
        <f>HYPERLINK("[N&amp;P New retention.xlsx]'Lake P Results'!AA95", 15.502)</f>
        <v>15.502000000000001</v>
      </c>
      <c r="AI549" s="29">
        <f>HYPERLINK("[N&amp;P with New retention and Differentiation.xlsx]'Lake P Results'!AA95", 15.502)</f>
        <v>15.502000000000001</v>
      </c>
      <c r="AJ549" s="13"/>
      <c r="AK549" s="13"/>
      <c r="AL549" s="13"/>
      <c r="AM549" s="13"/>
      <c r="AN549" s="13"/>
      <c r="AO549" s="13"/>
      <c r="AP549" s="13"/>
      <c r="AQ549" s="28">
        <f>HYPERLINK("[N&amp;P Old retention.xlsx]'Lake P Results'!AH95", 190)</f>
        <v>190</v>
      </c>
      <c r="AR549" s="28">
        <f>HYPERLINK("[N&amp;P New retention.xlsx]'Lake P Results'!AH95", 190)</f>
        <v>190</v>
      </c>
      <c r="AS549" s="28">
        <f>HYPERLINK("[N&amp;P with New retention and Differentiation.xlsx]'Lake P Results'!AH95", 190)</f>
        <v>190</v>
      </c>
      <c r="AT549" s="13"/>
      <c r="AU549" s="13"/>
      <c r="AV549" s="13"/>
      <c r="AW549" s="13"/>
      <c r="AX549" s="13"/>
      <c r="AY549" s="13"/>
      <c r="AZ549" s="13"/>
      <c r="BA549" s="29">
        <f>HYPERLINK("[N&amp;P Old retention.xlsx]'Lake P Results'!O95", 405.308)</f>
        <v>405.30799999999999</v>
      </c>
      <c r="BB549" s="29">
        <f>HYPERLINK("[N&amp;P New retention.xlsx]'Lake P Results'!O95", 417.75)</f>
        <v>417.75</v>
      </c>
      <c r="BC549" s="29">
        <f>HYPERLINK("[N&amp;P with New retention and Differentiation.xlsx]'Lake P Results'!O95", 417.75)</f>
        <v>417.75</v>
      </c>
      <c r="BD549" s="46">
        <f>BB549-BA549</f>
        <v>12.442000000000007</v>
      </c>
      <c r="BE549" s="46">
        <f>BC549-BA549</f>
        <v>12.442000000000007</v>
      </c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</row>
    <row r="550" spans="1:67" x14ac:dyDescent="0.55000000000000004">
      <c r="A550" s="30">
        <v>299</v>
      </c>
      <c r="B550" s="6" t="s">
        <v>409</v>
      </c>
      <c r="C550" s="27">
        <f>HYPERLINK("[N&amp;P Old retention.xlsx]'Lake P Results'!AE96", 2.41)</f>
        <v>2.41</v>
      </c>
      <c r="D550" s="27">
        <f>HYPERLINK("[N&amp;P New retention.xlsx]'Lake P Results'!AE96", 2.41)</f>
        <v>2.41</v>
      </c>
      <c r="E550" s="27">
        <f>HYPERLINK("[N&amp;P with New retention and Differentiation.xlsx]'Lake P Results'!AE96", 2.41)</f>
        <v>2.41</v>
      </c>
      <c r="F550" s="18"/>
      <c r="G550" s="18"/>
      <c r="H550" s="26">
        <f>HYPERLINK("[N&amp;P Old retention.xlsx]'Lake P Results'!AM96", 10800)</f>
        <v>10800</v>
      </c>
      <c r="I550" s="26">
        <f>HYPERLINK("[N&amp;P New retention.xlsx]'Lake P Results'!AM96", 10800)</f>
        <v>10800</v>
      </c>
      <c r="J550" s="26">
        <f>HYPERLINK("[N&amp;P with New retention and Differentiation.xlsx]'Lake P Results'!AM96", 10800)</f>
        <v>10800</v>
      </c>
      <c r="K550" s="18"/>
      <c r="L550" s="18"/>
      <c r="M550" s="18"/>
      <c r="N550" s="18"/>
      <c r="O550" s="18"/>
      <c r="P550" s="18"/>
      <c r="Q550" s="18"/>
      <c r="R550" s="27">
        <f>HYPERLINK("[N&amp;P Old retention.xlsx]'Lake P Results'!Y96", 6.07)</f>
        <v>6.07</v>
      </c>
      <c r="S550" s="27">
        <f>HYPERLINK("[N&amp;P New retention.xlsx]'Lake P Results'!Y96", 6.07)</f>
        <v>6.07</v>
      </c>
      <c r="T550" s="27">
        <f>HYPERLINK("[N&amp;P with New retention and Differentiation.xlsx]'Lake P Results'!Y96", 6.07)</f>
        <v>6.07</v>
      </c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26">
        <f>HYPERLINK("[N&amp;P Old retention.xlsx]'Lake P Results'!AH96", 480)</f>
        <v>480</v>
      </c>
      <c r="AR550" s="26">
        <f>HYPERLINK("[N&amp;P New retention.xlsx]'Lake P Results'!AH96", 480)</f>
        <v>480</v>
      </c>
      <c r="AS550" s="26">
        <f>HYPERLINK("[N&amp;P with New retention and Differentiation.xlsx]'Lake P Results'!AH96", 480)</f>
        <v>480</v>
      </c>
      <c r="AT550" s="18"/>
      <c r="AU550" s="18"/>
      <c r="AV550" s="27">
        <f>HYPERLINK("[N&amp;P Old retention.xlsx]'Lake P Results'!M96", 20.82)</f>
        <v>20.82</v>
      </c>
      <c r="AW550" s="27">
        <f>HYPERLINK("[N&amp;P New retention.xlsx]'Lake P Results'!M96", 20.82)</f>
        <v>20.82</v>
      </c>
      <c r="AX550" s="27">
        <f>HYPERLINK("[N&amp;P with New retention and Differentiation.xlsx]'Lake P Results'!M96", 20.82)</f>
        <v>20.82</v>
      </c>
      <c r="AY550" s="18"/>
      <c r="AZ550" s="18"/>
      <c r="BA550" s="27">
        <f>HYPERLINK("[N&amp;P Old retention.xlsx]'Lake P Results'!O96", 422.962)</f>
        <v>422.96199999999999</v>
      </c>
      <c r="BB550" s="27">
        <f>HYPERLINK("[N&amp;P New retention.xlsx]'Lake P Results'!O96", 422.962)</f>
        <v>422.96199999999999</v>
      </c>
      <c r="BC550" s="27">
        <f>HYPERLINK("[N&amp;P with New retention and Differentiation.xlsx]'Lake P Results'!O96", 422.962)</f>
        <v>422.96199999999999</v>
      </c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</row>
    <row r="551" spans="1:67" x14ac:dyDescent="0.55000000000000004">
      <c r="A551" s="31">
        <v>301</v>
      </c>
      <c r="B551" s="5" t="s">
        <v>410</v>
      </c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</row>
    <row r="552" spans="1:67" x14ac:dyDescent="0.55000000000000004">
      <c r="A552" s="30">
        <v>303</v>
      </c>
      <c r="B552" s="6" t="s">
        <v>411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27">
        <f>HYPERLINK("[N&amp;P Old retention.xlsx]'Lake P Results'!M98", 126.91)</f>
        <v>126.91</v>
      </c>
      <c r="AW552" s="27">
        <f>HYPERLINK("[N&amp;P New retention.xlsx]'Lake P Results'!M98", 57.65)</f>
        <v>57.65</v>
      </c>
      <c r="AX552" s="27">
        <f>HYPERLINK("[N&amp;P with New retention and Differentiation.xlsx]'Lake P Results'!M98", 57.65)</f>
        <v>57.65</v>
      </c>
      <c r="AY552" s="47">
        <f>AW552-AV552</f>
        <v>-69.259999999999991</v>
      </c>
      <c r="AZ552" s="47">
        <f>AX552-AV552</f>
        <v>-69.259999999999991</v>
      </c>
      <c r="BA552" s="27">
        <f>HYPERLINK("[N&amp;P Old retention.xlsx]'Lake P Results'!O98", 35.44)</f>
        <v>35.44</v>
      </c>
      <c r="BB552" s="18"/>
      <c r="BC552" s="18"/>
      <c r="BD552" s="47">
        <f>BB552-BA552</f>
        <v>-35.44</v>
      </c>
      <c r="BE552" s="47">
        <f>BC552-BA552</f>
        <v>-35.44</v>
      </c>
      <c r="BF552" s="27">
        <f>HYPERLINK("[N&amp;P Old retention.xlsx]'Lake P Results'!R98", 0.11)</f>
        <v>0.11</v>
      </c>
      <c r="BG552" s="27">
        <f>HYPERLINK("[N&amp;P New retention.xlsx]'Lake P Results'!R98", 0.11)</f>
        <v>0.11</v>
      </c>
      <c r="BH552" s="27">
        <f>HYPERLINK("[N&amp;P with New retention and Differentiation.xlsx]'Lake P Results'!R98", 0.11)</f>
        <v>0.11</v>
      </c>
      <c r="BI552" s="18"/>
      <c r="BJ552" s="18"/>
      <c r="BK552" s="18"/>
      <c r="BL552" s="18"/>
      <c r="BM552" s="18"/>
      <c r="BN552" s="18"/>
      <c r="BO552" s="18"/>
    </row>
    <row r="553" spans="1:67" x14ac:dyDescent="0.55000000000000004">
      <c r="A553" s="31">
        <v>307</v>
      </c>
      <c r="B553" s="5" t="s">
        <v>412</v>
      </c>
      <c r="C553" s="29">
        <f>HYPERLINK("[N&amp;P Old retention.xlsx]'Lake P Results'!AE99", 12.81)</f>
        <v>12.81</v>
      </c>
      <c r="D553" s="29">
        <f>HYPERLINK("[N&amp;P New retention.xlsx]'Lake P Results'!AE99", 14.812)</f>
        <v>14.811999999999999</v>
      </c>
      <c r="E553" s="29">
        <f>HYPERLINK("[N&amp;P with New retention and Differentiation.xlsx]'Lake P Results'!AE99", 14.532)</f>
        <v>14.532</v>
      </c>
      <c r="F553" s="46">
        <f>D553-C553</f>
        <v>2.0019999999999989</v>
      </c>
      <c r="G553" s="46">
        <f>E553-C553</f>
        <v>1.7219999999999995</v>
      </c>
      <c r="H553" s="28">
        <f>HYPERLINK("[N&amp;P Old retention.xlsx]'Lake P Results'!AM99", 36100)</f>
        <v>36100</v>
      </c>
      <c r="I553" s="28">
        <f>HYPERLINK("[N&amp;P New retention.xlsx]'Lake P Results'!AM99", 35000)</f>
        <v>35000</v>
      </c>
      <c r="J553" s="28">
        <f>HYPERLINK("[N&amp;P with New retention and Differentiation.xlsx]'Lake P Results'!AM99", 36400)</f>
        <v>36400</v>
      </c>
      <c r="K553" s="21">
        <f>I553-H553</f>
        <v>-1100</v>
      </c>
      <c r="L553" s="16">
        <f>J553-H553</f>
        <v>300</v>
      </c>
      <c r="M553" s="29">
        <f>HYPERLINK("[N&amp;P Old retention.xlsx]'Lake P Results'!AC99", 0.028)</f>
        <v>2.8000000000000001E-2</v>
      </c>
      <c r="N553" s="29">
        <f>HYPERLINK("[N&amp;P New retention.xlsx]'Lake P Results'!AC99", 0.028)</f>
        <v>2.8000000000000001E-2</v>
      </c>
      <c r="O553" s="29">
        <f>HYPERLINK("[N&amp;P with New retention and Differentiation.xlsx]'Lake P Results'!AC99", 0.028)</f>
        <v>2.8000000000000001E-2</v>
      </c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29">
        <f>HYPERLINK("[N&amp;P Old retention.xlsx]'Lake P Results'!Z99", 2.934)</f>
        <v>2.9340000000000002</v>
      </c>
      <c r="AC553" s="13"/>
      <c r="AD553" s="13"/>
      <c r="AE553" s="47">
        <f>AC553-AB553</f>
        <v>-2.9340000000000002</v>
      </c>
      <c r="AF553" s="47">
        <f>AD553-AB553</f>
        <v>-2.9340000000000002</v>
      </c>
      <c r="AG553" s="29">
        <f>HYPERLINK("[N&amp;P Old retention.xlsx]'Lake P Results'!AA99", 9.248)</f>
        <v>9.2479999999999993</v>
      </c>
      <c r="AH553" s="29">
        <f>HYPERLINK("[N&amp;P New retention.xlsx]'Lake P Results'!AA99", 14.148)</f>
        <v>14.148</v>
      </c>
      <c r="AI553" s="29">
        <f>HYPERLINK("[N&amp;P with New retention and Differentiation.xlsx]'Lake P Results'!AA99", 15.588)</f>
        <v>15.587999999999999</v>
      </c>
      <c r="AJ553" s="46">
        <f>AH553-AG553</f>
        <v>4.9000000000000004</v>
      </c>
      <c r="AK553" s="46">
        <f>AI553-AG553</f>
        <v>6.34</v>
      </c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29">
        <f>HYPERLINK("[N&amp;P Old retention.xlsx]'Lake P Results'!M99", 1270.514)</f>
        <v>1270.5139999999999</v>
      </c>
      <c r="AW553" s="29">
        <f>HYPERLINK("[N&amp;P New retention.xlsx]'Lake P Results'!M99", 956.294)</f>
        <v>956.29399999999998</v>
      </c>
      <c r="AX553" s="29">
        <f>HYPERLINK("[N&amp;P with New retention and Differentiation.xlsx]'Lake P Results'!M99", 953.244)</f>
        <v>953.24400000000003</v>
      </c>
      <c r="AY553" s="47">
        <f>AW553-AV553</f>
        <v>-314.21999999999991</v>
      </c>
      <c r="AZ553" s="47">
        <f>AX553-AV553</f>
        <v>-317.26999999999987</v>
      </c>
      <c r="BA553" s="29">
        <f>HYPERLINK("[N&amp;P Old retention.xlsx]'Lake P Results'!O99", 33.59)</f>
        <v>33.590000000000003</v>
      </c>
      <c r="BB553" s="29">
        <f>HYPERLINK("[N&amp;P New retention.xlsx]'Lake P Results'!O99", 31.72)</f>
        <v>31.72</v>
      </c>
      <c r="BC553" s="29">
        <f>HYPERLINK("[N&amp;P with New retention and Differentiation.xlsx]'Lake P Results'!O99", 31.72)</f>
        <v>31.72</v>
      </c>
      <c r="BD553" s="47">
        <f>BB553-BA553</f>
        <v>-1.8700000000000045</v>
      </c>
      <c r="BE553" s="47">
        <f>BC553-BA553</f>
        <v>-1.8700000000000045</v>
      </c>
      <c r="BF553" s="29">
        <f>HYPERLINK("[N&amp;P Old retention.xlsx]'Lake P Results'!R99", 59.8957647058823)</f>
        <v>59.8957647058823</v>
      </c>
      <c r="BG553" s="29">
        <f>HYPERLINK("[N&amp;P New retention.xlsx]'Lake P Results'!R99", 58.6317647058823)</f>
        <v>58.631764705882297</v>
      </c>
      <c r="BH553" s="29">
        <f>HYPERLINK("[N&amp;P with New retention and Differentiation.xlsx]'Lake P Results'!R99", 58.6317647058823)</f>
        <v>58.631764705882297</v>
      </c>
      <c r="BI553" s="47">
        <f>BG553-BF553</f>
        <v>-1.2640000000000029</v>
      </c>
      <c r="BJ553" s="47">
        <f>BH553-BF553</f>
        <v>-1.2640000000000029</v>
      </c>
      <c r="BK553" s="29">
        <f>HYPERLINK("[N&amp;P Old retention.xlsx]'Lake P Results'!Q99", 51.706)</f>
        <v>51.706000000000003</v>
      </c>
      <c r="BL553" s="29">
        <f>HYPERLINK("[N&amp;P New retention.xlsx]'Lake P Results'!Q99", 15.52)</f>
        <v>15.52</v>
      </c>
      <c r="BM553" s="29">
        <f>HYPERLINK("[N&amp;P with New retention and Differentiation.xlsx]'Lake P Results'!Q99", 15.52)</f>
        <v>15.52</v>
      </c>
      <c r="BN553" s="47">
        <f>BL553-BK553</f>
        <v>-36.186000000000007</v>
      </c>
      <c r="BO553" s="47">
        <f>BM553-BK553</f>
        <v>-36.186000000000007</v>
      </c>
    </row>
    <row r="554" spans="1:67" x14ac:dyDescent="0.55000000000000004">
      <c r="A554" s="30">
        <v>308</v>
      </c>
      <c r="B554" s="6" t="s">
        <v>413</v>
      </c>
      <c r="C554" s="27">
        <f>HYPERLINK("[N&amp;P Old retention.xlsx]'Lake P Results'!AE100", 4.02)</f>
        <v>4.0199999999999996</v>
      </c>
      <c r="D554" s="27">
        <f>HYPERLINK("[N&amp;P New retention.xlsx]'Lake P Results'!AE100", 4.02)</f>
        <v>4.0199999999999996</v>
      </c>
      <c r="E554" s="27">
        <f>HYPERLINK("[N&amp;P with New retention and Differentiation.xlsx]'Lake P Results'!AE100", 4.02)</f>
        <v>4.0199999999999996</v>
      </c>
      <c r="F554" s="18"/>
      <c r="G554" s="18"/>
      <c r="H554" s="26">
        <f>HYPERLINK("[N&amp;P Old retention.xlsx]'Lake P Results'!AM100", 6200)</f>
        <v>6200</v>
      </c>
      <c r="I554" s="26">
        <f>HYPERLINK("[N&amp;P New retention.xlsx]'Lake P Results'!AM100", 6200)</f>
        <v>6200</v>
      </c>
      <c r="J554" s="26">
        <f>HYPERLINK("[N&amp;P with New retention and Differentiation.xlsx]'Lake P Results'!AM100", 6200)</f>
        <v>6200</v>
      </c>
      <c r="K554" s="18"/>
      <c r="L554" s="18"/>
      <c r="M554" s="27">
        <f>HYPERLINK("[N&amp;P Old retention.xlsx]'Lake P Results'!AC100", 1.58)</f>
        <v>1.58</v>
      </c>
      <c r="N554" s="27">
        <f>HYPERLINK("[N&amp;P New retention.xlsx]'Lake P Results'!AC100", 1.58)</f>
        <v>1.58</v>
      </c>
      <c r="O554" s="27">
        <f>HYPERLINK("[N&amp;P with New retention and Differentiation.xlsx]'Lake P Results'!AC100", 1.58)</f>
        <v>1.58</v>
      </c>
      <c r="P554" s="18"/>
      <c r="Q554" s="18"/>
      <c r="R554" s="27">
        <f>HYPERLINK("[N&amp;P Old retention.xlsx]'Lake P Results'!Y100", 34.282)</f>
        <v>34.281999999999996</v>
      </c>
      <c r="S554" s="27">
        <f>HYPERLINK("[N&amp;P New retention.xlsx]'Lake P Results'!Y100", 34.282)</f>
        <v>34.281999999999996</v>
      </c>
      <c r="T554" s="27">
        <f>HYPERLINK("[N&amp;P with New retention and Differentiation.xlsx]'Lake P Results'!Y100", 34.282)</f>
        <v>34.281999999999996</v>
      </c>
      <c r="U554" s="18"/>
      <c r="V554" s="18"/>
      <c r="W554" s="27">
        <f>HYPERLINK("[N&amp;P Old retention.xlsx]'Lake P Results'!V100", 7.14)</f>
        <v>7.14</v>
      </c>
      <c r="X554" s="27">
        <f>HYPERLINK("[N&amp;P New retention.xlsx]'Lake P Results'!V100", 7.14)</f>
        <v>7.14</v>
      </c>
      <c r="Y554" s="27">
        <f>HYPERLINK("[N&amp;P with New retention and Differentiation.xlsx]'Lake P Results'!V100", 7.14)</f>
        <v>7.14</v>
      </c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26">
        <f>HYPERLINK("[N&amp;P Old retention.xlsx]'Lake P Results'!AH100", 670)</f>
        <v>670</v>
      </c>
      <c r="AR554" s="26">
        <f>HYPERLINK("[N&amp;P New retention.xlsx]'Lake P Results'!AH100", 670)</f>
        <v>670</v>
      </c>
      <c r="AS554" s="26">
        <f>HYPERLINK("[N&amp;P with New retention and Differentiation.xlsx]'Lake P Results'!AH100", 670)</f>
        <v>670</v>
      </c>
      <c r="AT554" s="18"/>
      <c r="AU554" s="18"/>
      <c r="AV554" s="27">
        <f>HYPERLINK("[N&amp;P Old retention.xlsx]'Lake P Results'!M100", 828.62)</f>
        <v>828.62</v>
      </c>
      <c r="AW554" s="27">
        <f>HYPERLINK("[N&amp;P New retention.xlsx]'Lake P Results'!M100", 828.62)</f>
        <v>828.62</v>
      </c>
      <c r="AX554" s="27">
        <f>HYPERLINK("[N&amp;P with New retention and Differentiation.xlsx]'Lake P Results'!M100", 828.62)</f>
        <v>828.62</v>
      </c>
      <c r="AY554" s="18"/>
      <c r="AZ554" s="18"/>
      <c r="BA554" s="27">
        <f>HYPERLINK("[N&amp;P Old retention.xlsx]'Lake P Results'!O100", 2.164)</f>
        <v>2.1640000000000001</v>
      </c>
      <c r="BB554" s="27">
        <f>HYPERLINK("[N&amp;P New retention.xlsx]'Lake P Results'!O100", 2.164)</f>
        <v>2.1640000000000001</v>
      </c>
      <c r="BC554" s="27">
        <f>HYPERLINK("[N&amp;P with New retention and Differentiation.xlsx]'Lake P Results'!O100", 2.164)</f>
        <v>2.1640000000000001</v>
      </c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</row>
    <row r="555" spans="1:67" x14ac:dyDescent="0.55000000000000004">
      <c r="A555" s="31">
        <v>309</v>
      </c>
      <c r="B555" s="5" t="s">
        <v>414</v>
      </c>
      <c r="C555" s="13"/>
      <c r="D555" s="13"/>
      <c r="E555" s="13"/>
      <c r="F555" s="13"/>
      <c r="G555" s="13"/>
      <c r="H555" s="28">
        <f>HYPERLINK("[N&amp;P Old retention.xlsx]'Lake P Results'!AM101", 3100)</f>
        <v>3100</v>
      </c>
      <c r="I555" s="28">
        <f>HYPERLINK("[N&amp;P New retention.xlsx]'Lake P Results'!AM101", 3100)</f>
        <v>3100</v>
      </c>
      <c r="J555" s="28">
        <f>HYPERLINK("[N&amp;P with New retention and Differentiation.xlsx]'Lake P Results'!AM101", 3400)</f>
        <v>3400</v>
      </c>
      <c r="K555" s="13"/>
      <c r="L555" s="16">
        <f>J555-H555</f>
        <v>300</v>
      </c>
      <c r="M555" s="13"/>
      <c r="N555" s="13"/>
      <c r="O555" s="29">
        <f>HYPERLINK("[N&amp;P with New retention and Differentiation.xlsx]'Lake P Results'!AC101", 2.75)</f>
        <v>2.75</v>
      </c>
      <c r="P555" s="13"/>
      <c r="Q555" s="46">
        <f>O555-M555</f>
        <v>2.75</v>
      </c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29">
        <f>HYPERLINK("[N&amp;P Old retention.xlsx]'Lake P Results'!Z101", 0.95)</f>
        <v>0.95</v>
      </c>
      <c r="AC555" s="29">
        <f>HYPERLINK("[N&amp;P New retention.xlsx]'Lake P Results'!Z101", 1.3)</f>
        <v>1.3</v>
      </c>
      <c r="AD555" s="29">
        <f>HYPERLINK("[N&amp;P with New retention and Differentiation.xlsx]'Lake P Results'!Z101", 1.3)</f>
        <v>1.3</v>
      </c>
      <c r="AE555" s="46">
        <f>AC555-AB555</f>
        <v>0.35000000000000009</v>
      </c>
      <c r="AF555" s="46">
        <f>AD555-AB555</f>
        <v>0.35000000000000009</v>
      </c>
      <c r="AG555" s="29">
        <f>HYPERLINK("[N&amp;P Old retention.xlsx]'Lake P Results'!AA101", 2.75)</f>
        <v>2.75</v>
      </c>
      <c r="AH555" s="29">
        <f>HYPERLINK("[N&amp;P New retention.xlsx]'Lake P Results'!AA101", 2.75)</f>
        <v>2.75</v>
      </c>
      <c r="AI555" s="13"/>
      <c r="AJ555" s="13"/>
      <c r="AK555" s="47">
        <f>AI555-AG555</f>
        <v>-2.75</v>
      </c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29">
        <f>HYPERLINK("[N&amp;P New retention.xlsx]'Lake P Results'!O101", 8.18)</f>
        <v>8.18</v>
      </c>
      <c r="BC555" s="29">
        <f>HYPERLINK("[N&amp;P with New retention and Differentiation.xlsx]'Lake P Results'!O101", 8.18)</f>
        <v>8.18</v>
      </c>
      <c r="BD555" s="46">
        <f>BB555-BA555</f>
        <v>8.18</v>
      </c>
      <c r="BE555" s="46">
        <f>BC555-BA555</f>
        <v>8.18</v>
      </c>
      <c r="BF555" s="13"/>
      <c r="BG555" s="13"/>
      <c r="BH555" s="13"/>
      <c r="BI555" s="13"/>
      <c r="BJ555" s="13"/>
      <c r="BK555" s="29">
        <f>HYPERLINK("[N&amp;P Old retention.xlsx]'Lake P Results'!Q101", 0.37)</f>
        <v>0.37</v>
      </c>
      <c r="BL555" s="29">
        <f>HYPERLINK("[N&amp;P New retention.xlsx]'Lake P Results'!Q101", 0.37)</f>
        <v>0.37</v>
      </c>
      <c r="BM555" s="29">
        <f>HYPERLINK("[N&amp;P with New retention and Differentiation.xlsx]'Lake P Results'!Q101", 0.37)</f>
        <v>0.37</v>
      </c>
      <c r="BN555" s="13"/>
      <c r="BO555" s="13"/>
    </row>
    <row r="556" spans="1:67" x14ac:dyDescent="0.55000000000000004">
      <c r="A556" s="30">
        <v>310</v>
      </c>
      <c r="B556" s="6" t="s">
        <v>415</v>
      </c>
      <c r="C556" s="27">
        <f>HYPERLINK("[N&amp;P Old retention.xlsx]'Lake P Results'!AE102", 0.2)</f>
        <v>0.2</v>
      </c>
      <c r="D556" s="27">
        <f>HYPERLINK("[N&amp;P New retention.xlsx]'Lake P Results'!AE102", 0.2)</f>
        <v>0.2</v>
      </c>
      <c r="E556" s="27">
        <f>HYPERLINK("[N&amp;P with New retention and Differentiation.xlsx]'Lake P Results'!AE102", 0.2)</f>
        <v>0.2</v>
      </c>
      <c r="F556" s="18"/>
      <c r="G556" s="18"/>
      <c r="H556" s="26">
        <f>HYPERLINK("[N&amp;P Old retention.xlsx]'Lake P Results'!AM102", 17700)</f>
        <v>17700</v>
      </c>
      <c r="I556" s="26">
        <f>HYPERLINK("[N&amp;P New retention.xlsx]'Lake P Results'!AM102", 17700)</f>
        <v>17700</v>
      </c>
      <c r="J556" s="26">
        <f>HYPERLINK("[N&amp;P with New retention and Differentiation.xlsx]'Lake P Results'!AM102", 17700)</f>
        <v>17700</v>
      </c>
      <c r="K556" s="18"/>
      <c r="L556" s="18"/>
      <c r="M556" s="18"/>
      <c r="N556" s="27">
        <f>HYPERLINK("[N&amp;P New retention.xlsx]'Lake P Results'!AC102", 0.012)</f>
        <v>1.2E-2</v>
      </c>
      <c r="O556" s="27">
        <f>HYPERLINK("[N&amp;P with New retention and Differentiation.xlsx]'Lake P Results'!AC102", 0.012)</f>
        <v>1.2E-2</v>
      </c>
      <c r="P556" s="46">
        <f>N556-M556</f>
        <v>1.2E-2</v>
      </c>
      <c r="Q556" s="46">
        <f>O556-M556</f>
        <v>1.2E-2</v>
      </c>
      <c r="R556" s="27">
        <f>HYPERLINK("[N&amp;P Old retention.xlsx]'Lake P Results'!Y102", 5.712)</f>
        <v>5.7119999999999997</v>
      </c>
      <c r="S556" s="18"/>
      <c r="T556" s="18"/>
      <c r="U556" s="47">
        <f>S556-R556</f>
        <v>-5.7119999999999997</v>
      </c>
      <c r="V556" s="47">
        <f>T556-R556</f>
        <v>-5.7119999999999997</v>
      </c>
      <c r="W556" s="18"/>
      <c r="X556" s="18"/>
      <c r="Y556" s="18"/>
      <c r="Z556" s="18"/>
      <c r="AA556" s="18"/>
      <c r="AB556" s="27">
        <f>HYPERLINK("[N&amp;P Old retention.xlsx]'Lake P Results'!Z102", 1.86)</f>
        <v>1.86</v>
      </c>
      <c r="AC556" s="27">
        <f>HYPERLINK("[N&amp;P New retention.xlsx]'Lake P Results'!Z102", 7.56)</f>
        <v>7.56</v>
      </c>
      <c r="AD556" s="27">
        <f>HYPERLINK("[N&amp;P with New retention and Differentiation.xlsx]'Lake P Results'!Z102", 7.56)</f>
        <v>7.56</v>
      </c>
      <c r="AE556" s="46">
        <f>AC556-AB556</f>
        <v>5.6999999999999993</v>
      </c>
      <c r="AF556" s="46">
        <f>AD556-AB556</f>
        <v>5.6999999999999993</v>
      </c>
      <c r="AG556" s="27">
        <f>HYPERLINK("[N&amp;P Old retention.xlsx]'Lake P Results'!AA102", 5.93)</f>
        <v>5.93</v>
      </c>
      <c r="AH556" s="27">
        <f>HYPERLINK("[N&amp;P New retention.xlsx]'Lake P Results'!AA102", 5.93)</f>
        <v>5.93</v>
      </c>
      <c r="AI556" s="27">
        <f>HYPERLINK("[N&amp;P with New retention and Differentiation.xlsx]'Lake P Results'!AA102", 5.93)</f>
        <v>5.93</v>
      </c>
      <c r="AJ556" s="18"/>
      <c r="AK556" s="18"/>
      <c r="AL556" s="18"/>
      <c r="AM556" s="18"/>
      <c r="AN556" s="18"/>
      <c r="AO556" s="18"/>
      <c r="AP556" s="18"/>
      <c r="AQ556" s="26">
        <f>HYPERLINK("[N&amp;P Old retention.xlsx]'Lake P Results'!AH102", 20)</f>
        <v>20</v>
      </c>
      <c r="AR556" s="26">
        <f>HYPERLINK("[N&amp;P New retention.xlsx]'Lake P Results'!AH102", 20)</f>
        <v>20</v>
      </c>
      <c r="AS556" s="26">
        <f>HYPERLINK("[N&amp;P with New retention and Differentiation.xlsx]'Lake P Results'!AH102", 20)</f>
        <v>20</v>
      </c>
      <c r="AT556" s="18"/>
      <c r="AU556" s="18"/>
      <c r="AV556" s="27">
        <f>HYPERLINK("[N&amp;P Old retention.xlsx]'Lake P Results'!M102", 651.67)</f>
        <v>651.66999999999996</v>
      </c>
      <c r="AW556" s="27">
        <f>HYPERLINK("[N&amp;P New retention.xlsx]'Lake P Results'!M102", 698.97)</f>
        <v>698.97</v>
      </c>
      <c r="AX556" s="27">
        <f>HYPERLINK("[N&amp;P with New retention and Differentiation.xlsx]'Lake P Results'!M102", 698.97)</f>
        <v>698.97</v>
      </c>
      <c r="AY556" s="46">
        <f>AW556-AV556</f>
        <v>47.300000000000068</v>
      </c>
      <c r="AZ556" s="46">
        <f>AX556-AV556</f>
        <v>47.300000000000068</v>
      </c>
      <c r="BA556" s="27">
        <f>HYPERLINK("[N&amp;P Old retention.xlsx]'Lake P Results'!O102", 211.764)</f>
        <v>211.76400000000001</v>
      </c>
      <c r="BB556" s="27">
        <f>HYPERLINK("[N&amp;P New retention.xlsx]'Lake P Results'!O102", 213.394)</f>
        <v>213.39400000000001</v>
      </c>
      <c r="BC556" s="27">
        <f>HYPERLINK("[N&amp;P with New retention and Differentiation.xlsx]'Lake P Results'!O102", 213.394)</f>
        <v>213.39400000000001</v>
      </c>
      <c r="BD556" s="46">
        <f>BB556-BA556</f>
        <v>1.6299999999999955</v>
      </c>
      <c r="BE556" s="46">
        <f>BC556-BA556</f>
        <v>1.6299999999999955</v>
      </c>
      <c r="BF556" s="27">
        <f>HYPERLINK("[N&amp;P Old retention.xlsx]'Lake P Results'!R102", 0.56)</f>
        <v>0.56000000000000005</v>
      </c>
      <c r="BG556" s="27">
        <f>HYPERLINK("[N&amp;P New retention.xlsx]'Lake P Results'!R102", 0.56)</f>
        <v>0.56000000000000005</v>
      </c>
      <c r="BH556" s="27">
        <f>HYPERLINK("[N&amp;P with New retention and Differentiation.xlsx]'Lake P Results'!R102", 0.56)</f>
        <v>0.56000000000000005</v>
      </c>
      <c r="BI556" s="18"/>
      <c r="BJ556" s="18"/>
      <c r="BK556" s="27">
        <f>HYPERLINK("[N&amp;P Old retention.xlsx]'Lake P Results'!Q102", 0.16)</f>
        <v>0.16</v>
      </c>
      <c r="BL556" s="27">
        <f>HYPERLINK("[N&amp;P New retention.xlsx]'Lake P Results'!Q102", 0.23)</f>
        <v>0.23</v>
      </c>
      <c r="BM556" s="27">
        <f>HYPERLINK("[N&amp;P with New retention and Differentiation.xlsx]'Lake P Results'!Q102", 0.23)</f>
        <v>0.23</v>
      </c>
      <c r="BN556" s="46">
        <f>BL556-BK556</f>
        <v>7.0000000000000007E-2</v>
      </c>
      <c r="BO556" s="46">
        <f>BM556-BK556</f>
        <v>7.0000000000000007E-2</v>
      </c>
    </row>
    <row r="557" spans="1:67" x14ac:dyDescent="0.55000000000000004">
      <c r="A557" s="31">
        <v>311</v>
      </c>
      <c r="B557" s="5" t="s">
        <v>416</v>
      </c>
      <c r="C557" s="13"/>
      <c r="D557" s="13"/>
      <c r="E557" s="13"/>
      <c r="F557" s="13"/>
      <c r="G557" s="13"/>
      <c r="H557" s="28">
        <f>HYPERLINK("[N&amp;P Old retention.xlsx]'Lake P Results'!AM103", 4000)</f>
        <v>4000</v>
      </c>
      <c r="I557" s="28">
        <f>HYPERLINK("[N&amp;P New retention.xlsx]'Lake P Results'!AM103", 4000)</f>
        <v>4000</v>
      </c>
      <c r="J557" s="28">
        <f>HYPERLINK("[N&amp;P with New retention and Differentiation.xlsx]'Lake P Results'!AM103", 4000)</f>
        <v>4000</v>
      </c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29">
        <f>HYPERLINK("[N&amp;P Old retention.xlsx]'Lake P Results'!AA103", 0.188)</f>
        <v>0.188</v>
      </c>
      <c r="AH557" s="29">
        <f>HYPERLINK("[N&amp;P New retention.xlsx]'Lake P Results'!AA103", 0.188)</f>
        <v>0.188</v>
      </c>
      <c r="AI557" s="29">
        <f>HYPERLINK("[N&amp;P with New retention and Differentiation.xlsx]'Lake P Results'!AA103", 0.188)</f>
        <v>0.188</v>
      </c>
      <c r="AJ557" s="13"/>
      <c r="AK557" s="13"/>
      <c r="AL557" s="13"/>
      <c r="AM557" s="13"/>
      <c r="AN557" s="13"/>
      <c r="AO557" s="13"/>
      <c r="AP557" s="13"/>
      <c r="AQ557" s="28">
        <f>HYPERLINK("[N&amp;P Old retention.xlsx]'Lake P Results'!AH103", 20)</f>
        <v>20</v>
      </c>
      <c r="AR557" s="28">
        <f>HYPERLINK("[N&amp;P New retention.xlsx]'Lake P Results'!AH103", 20)</f>
        <v>20</v>
      </c>
      <c r="AS557" s="28">
        <f>HYPERLINK("[N&amp;P with New retention and Differentiation.xlsx]'Lake P Results'!AH103", 20)</f>
        <v>20</v>
      </c>
      <c r="AT557" s="13"/>
      <c r="AU557" s="13"/>
      <c r="AV557" s="29">
        <f>HYPERLINK("[N&amp;P Old retention.xlsx]'Lake P Results'!M103", 135.66)</f>
        <v>135.66</v>
      </c>
      <c r="AW557" s="29">
        <f>HYPERLINK("[N&amp;P New retention.xlsx]'Lake P Results'!M103", 135.66)</f>
        <v>135.66</v>
      </c>
      <c r="AX557" s="29">
        <f>HYPERLINK("[N&amp;P with New retention and Differentiation.xlsx]'Lake P Results'!M103", 135.66)</f>
        <v>135.66</v>
      </c>
      <c r="AY557" s="13"/>
      <c r="AZ557" s="13"/>
      <c r="BA557" s="29">
        <f>HYPERLINK("[N&amp;P Old retention.xlsx]'Lake P Results'!O103", 17.174)</f>
        <v>17.173999999999999</v>
      </c>
      <c r="BB557" s="29">
        <f>HYPERLINK("[N&amp;P New retention.xlsx]'Lake P Results'!O103", 17.174)</f>
        <v>17.173999999999999</v>
      </c>
      <c r="BC557" s="29">
        <f>HYPERLINK("[N&amp;P with New retention and Differentiation.xlsx]'Lake P Results'!O103", 17.174)</f>
        <v>17.173999999999999</v>
      </c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</row>
    <row r="558" spans="1:67" x14ac:dyDescent="0.55000000000000004">
      <c r="A558" s="30">
        <v>317</v>
      </c>
      <c r="B558" s="6" t="s">
        <v>417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27">
        <f>HYPERLINK("[N&amp;P Old retention.xlsx]'Lake P Results'!M104", 29.11)</f>
        <v>29.11</v>
      </c>
      <c r="AW558" s="27">
        <f>HYPERLINK("[N&amp;P New retention.xlsx]'Lake P Results'!M104", 53.88)</f>
        <v>53.88</v>
      </c>
      <c r="AX558" s="27">
        <f>HYPERLINK("[N&amp;P with New retention and Differentiation.xlsx]'Lake P Results'!M104", 53.88)</f>
        <v>53.88</v>
      </c>
      <c r="AY558" s="46">
        <f>AW558-AV558</f>
        <v>24.770000000000003</v>
      </c>
      <c r="AZ558" s="46">
        <f>AX558-AV558</f>
        <v>24.770000000000003</v>
      </c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27">
        <f>HYPERLINK("[N&amp;P Old retention.xlsx]'Lake P Results'!Q104", 5.96)</f>
        <v>5.96</v>
      </c>
      <c r="BL558" s="27">
        <f>HYPERLINK("[N&amp;P New retention.xlsx]'Lake P Results'!Q104", 4.59)</f>
        <v>4.59</v>
      </c>
      <c r="BM558" s="27">
        <f>HYPERLINK("[N&amp;P with New retention and Differentiation.xlsx]'Lake P Results'!Q104", 4.59)</f>
        <v>4.59</v>
      </c>
      <c r="BN558" s="47">
        <f>BL558-BK558</f>
        <v>-1.37</v>
      </c>
      <c r="BO558" s="47">
        <f>BM558-BK558</f>
        <v>-1.37</v>
      </c>
    </row>
    <row r="559" spans="1:67" x14ac:dyDescent="0.55000000000000004">
      <c r="A559" s="31">
        <v>319</v>
      </c>
      <c r="B559" s="5" t="s">
        <v>418</v>
      </c>
      <c r="C559" s="13"/>
      <c r="D559" s="13"/>
      <c r="E559" s="13"/>
      <c r="F559" s="13"/>
      <c r="G559" s="13"/>
      <c r="H559" s="28">
        <f>HYPERLINK("[N&amp;P Old retention.xlsx]'Lake P Results'!AM105", 2900)</f>
        <v>2900</v>
      </c>
      <c r="I559" s="28">
        <f>HYPERLINK("[N&amp;P New retention.xlsx]'Lake P Results'!AM105", 2900)</f>
        <v>2900</v>
      </c>
      <c r="J559" s="28">
        <f>HYPERLINK("[N&amp;P with New retention and Differentiation.xlsx]'Lake P Results'!AM105", 2900)</f>
        <v>2900</v>
      </c>
      <c r="K559" s="13"/>
      <c r="L559" s="13"/>
      <c r="M559" s="29">
        <f>HYPERLINK("[N&amp;P Old retention.xlsx]'Lake P Results'!AC105", 0.61)</f>
        <v>0.61</v>
      </c>
      <c r="N559" s="29">
        <f>HYPERLINK("[N&amp;P New retention.xlsx]'Lake P Results'!AC105", 0.61)</f>
        <v>0.61</v>
      </c>
      <c r="O559" s="29">
        <f>HYPERLINK("[N&amp;P with New retention and Differentiation.xlsx]'Lake P Results'!AC105", 0.61)</f>
        <v>0.61</v>
      </c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29">
        <f>HYPERLINK("[N&amp;P Old retention.xlsx]'Lake P Results'!Z105", 2.46)</f>
        <v>2.46</v>
      </c>
      <c r="AC559" s="29">
        <f>HYPERLINK("[N&amp;P New retention.xlsx]'Lake P Results'!Z105", 2.46)</f>
        <v>2.46</v>
      </c>
      <c r="AD559" s="29">
        <f>HYPERLINK("[N&amp;P with New retention and Differentiation.xlsx]'Lake P Results'!Z105", 2.46)</f>
        <v>2.46</v>
      </c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28">
        <f>HYPERLINK("[N&amp;P Old retention.xlsx]'Lake P Results'!AH105", 110)</f>
        <v>110</v>
      </c>
      <c r="AR559" s="28">
        <f>HYPERLINK("[N&amp;P New retention.xlsx]'Lake P Results'!AH105", 110)</f>
        <v>110</v>
      </c>
      <c r="AS559" s="28">
        <f>HYPERLINK("[N&amp;P with New retention and Differentiation.xlsx]'Lake P Results'!AH105", 110)</f>
        <v>110</v>
      </c>
      <c r="AT559" s="13"/>
      <c r="AU559" s="13"/>
      <c r="AV559" s="29">
        <f>HYPERLINK("[N&amp;P Old retention.xlsx]'Lake P Results'!M105", 194.33)</f>
        <v>194.33</v>
      </c>
      <c r="AW559" s="29">
        <f>HYPERLINK("[N&amp;P New retention.xlsx]'Lake P Results'!M105", 194.33)</f>
        <v>194.33</v>
      </c>
      <c r="AX559" s="29">
        <f>HYPERLINK("[N&amp;P with New retention and Differentiation.xlsx]'Lake P Results'!M105", 194.33)</f>
        <v>194.33</v>
      </c>
      <c r="AY559" s="13"/>
      <c r="AZ559" s="13"/>
      <c r="BA559" s="29">
        <f>HYPERLINK("[N&amp;P Old retention.xlsx]'Lake P Results'!O105", 4.998)</f>
        <v>4.9980000000000002</v>
      </c>
      <c r="BB559" s="29">
        <f>HYPERLINK("[N&amp;P New retention.xlsx]'Lake P Results'!O105", 4.998)</f>
        <v>4.9980000000000002</v>
      </c>
      <c r="BC559" s="29">
        <f>HYPERLINK("[N&amp;P with New retention and Differentiation.xlsx]'Lake P Results'!O105", 4.998)</f>
        <v>4.9980000000000002</v>
      </c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</row>
    <row r="560" spans="1:67" x14ac:dyDescent="0.55000000000000004">
      <c r="A560" s="30">
        <v>320</v>
      </c>
      <c r="B560" s="6" t="s">
        <v>419</v>
      </c>
      <c r="C560" s="18"/>
      <c r="D560" s="18"/>
      <c r="E560" s="18"/>
      <c r="F560" s="18"/>
      <c r="G560" s="18"/>
      <c r="H560" s="26">
        <f>HYPERLINK("[N&amp;P Old retention.xlsx]'Lake P Results'!AM106", 12200)</f>
        <v>12200</v>
      </c>
      <c r="I560" s="26">
        <f>HYPERLINK("[N&amp;P New retention.xlsx]'Lake P Results'!AM106", 12200)</f>
        <v>12200</v>
      </c>
      <c r="J560" s="26">
        <f>HYPERLINK("[N&amp;P with New retention and Differentiation.xlsx]'Lake P Results'!AM106", 12200)</f>
        <v>12200</v>
      </c>
      <c r="K560" s="18"/>
      <c r="L560" s="18"/>
      <c r="M560" s="18"/>
      <c r="N560" s="18"/>
      <c r="O560" s="18"/>
      <c r="P560" s="18"/>
      <c r="Q560" s="18"/>
      <c r="R560" s="27">
        <f>HYPERLINK("[N&amp;P Old retention.xlsx]'Lake P Results'!Y106", 33.88)</f>
        <v>33.880000000000003</v>
      </c>
      <c r="S560" s="27">
        <f>HYPERLINK("[N&amp;P New retention.xlsx]'Lake P Results'!Y106", 33.88)</f>
        <v>33.880000000000003</v>
      </c>
      <c r="T560" s="27">
        <f>HYPERLINK("[N&amp;P with New retention and Differentiation.xlsx]'Lake P Results'!Y106", 33.88)</f>
        <v>33.880000000000003</v>
      </c>
      <c r="U560" s="18"/>
      <c r="V560" s="18"/>
      <c r="W560" s="27">
        <f>HYPERLINK("[N&amp;P Old retention.xlsx]'Lake P Results'!V106", 14.27)</f>
        <v>14.27</v>
      </c>
      <c r="X560" s="27">
        <f>HYPERLINK("[N&amp;P New retention.xlsx]'Lake P Results'!V106", 14.27)</f>
        <v>14.27</v>
      </c>
      <c r="Y560" s="27">
        <f>HYPERLINK("[N&amp;P with New retention and Differentiation.xlsx]'Lake P Results'!V106", 14.27)</f>
        <v>14.27</v>
      </c>
      <c r="Z560" s="18"/>
      <c r="AA560" s="18"/>
      <c r="AB560" s="27">
        <f>HYPERLINK("[N&amp;P Old retention.xlsx]'Lake P Results'!Z106", 1.33)</f>
        <v>1.33</v>
      </c>
      <c r="AC560" s="27">
        <f>HYPERLINK("[N&amp;P New retention.xlsx]'Lake P Results'!Z106", 1.33)</f>
        <v>1.33</v>
      </c>
      <c r="AD560" s="27">
        <f>HYPERLINK("[N&amp;P with New retention and Differentiation.xlsx]'Lake P Results'!Z106", 1.33)</f>
        <v>1.33</v>
      </c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26">
        <f>HYPERLINK("[N&amp;P Old retention.xlsx]'Lake P Results'!AH106", 659.999999999929)</f>
        <v>659.99999999992895</v>
      </c>
      <c r="AR560" s="26">
        <f>HYPERLINK("[N&amp;P New retention.xlsx]'Lake P Results'!AH106", 659.999999999929)</f>
        <v>659.99999999992895</v>
      </c>
      <c r="AS560" s="26">
        <f>HYPERLINK("[N&amp;P with New retention and Differentiation.xlsx]'Lake P Results'!AH106", 659.999999999929)</f>
        <v>659.99999999992895</v>
      </c>
      <c r="AT560" s="18"/>
      <c r="AU560" s="18"/>
      <c r="AV560" s="18"/>
      <c r="AW560" s="18"/>
      <c r="AX560" s="18"/>
      <c r="AY560" s="18"/>
      <c r="AZ560" s="18"/>
      <c r="BA560" s="27">
        <f>HYPERLINK("[N&amp;P Old retention.xlsx]'Lake P Results'!O106", 527.344)</f>
        <v>527.34400000000005</v>
      </c>
      <c r="BB560" s="27">
        <f>HYPERLINK("[N&amp;P New retention.xlsx]'Lake P Results'!O106", 527.344)</f>
        <v>527.34400000000005</v>
      </c>
      <c r="BC560" s="27">
        <f>HYPERLINK("[N&amp;P with New retention and Differentiation.xlsx]'Lake P Results'!O106", 527.344)</f>
        <v>527.34400000000005</v>
      </c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</row>
    <row r="561" spans="1:67" x14ac:dyDescent="0.55000000000000004">
      <c r="A561" s="31">
        <v>322</v>
      </c>
      <c r="B561" s="5" t="s">
        <v>420</v>
      </c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</row>
    <row r="562" spans="1:67" x14ac:dyDescent="0.55000000000000004">
      <c r="A562" s="30">
        <v>323</v>
      </c>
      <c r="B562" s="6" t="s">
        <v>421</v>
      </c>
      <c r="C562" s="18"/>
      <c r="D562" s="18"/>
      <c r="E562" s="18"/>
      <c r="F562" s="18"/>
      <c r="G562" s="18"/>
      <c r="H562" s="26">
        <f>HYPERLINK("[N&amp;P Old retention.xlsx]'Lake P Results'!AM108", 200)</f>
        <v>200</v>
      </c>
      <c r="I562" s="26">
        <f>HYPERLINK("[N&amp;P New retention.xlsx]'Lake P Results'!AM108", 200)</f>
        <v>200</v>
      </c>
      <c r="J562" s="26">
        <f>HYPERLINK("[N&amp;P with New retention and Differentiation.xlsx]'Lake P Results'!AM108", 200)</f>
        <v>200</v>
      </c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27">
        <f>HYPERLINK("[N&amp;P Old retention.xlsx]'Lake P Results'!M108", 72.522)</f>
        <v>72.522000000000006</v>
      </c>
      <c r="AW562" s="27">
        <f>HYPERLINK("[N&amp;P New retention.xlsx]'Lake P Results'!M108", 47.232)</f>
        <v>47.231999999999999</v>
      </c>
      <c r="AX562" s="27">
        <f>HYPERLINK("[N&amp;P with New retention and Differentiation.xlsx]'Lake P Results'!M108", 47.232)</f>
        <v>47.231999999999999</v>
      </c>
      <c r="AY562" s="47">
        <f>AW562-AV562</f>
        <v>-25.290000000000006</v>
      </c>
      <c r="AZ562" s="47">
        <f>AX562-AV562</f>
        <v>-25.290000000000006</v>
      </c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27">
        <f>HYPERLINK("[N&amp;P Old retention.xlsx]'Lake P Results'!Q108", 26.494)</f>
        <v>26.494</v>
      </c>
      <c r="BL562" s="27">
        <f>HYPERLINK("[N&amp;P New retention.xlsx]'Lake P Results'!Q108", 11.982)</f>
        <v>11.981999999999999</v>
      </c>
      <c r="BM562" s="27">
        <f>HYPERLINK("[N&amp;P with New retention and Differentiation.xlsx]'Lake P Results'!Q108", 11.592)</f>
        <v>11.592000000000001</v>
      </c>
      <c r="BN562" s="47">
        <f>BL562-BK562</f>
        <v>-14.512</v>
      </c>
      <c r="BO562" s="47">
        <f>BM562-BK562</f>
        <v>-14.901999999999999</v>
      </c>
    </row>
    <row r="563" spans="1:67" x14ac:dyDescent="0.55000000000000004">
      <c r="A563" s="31">
        <v>327</v>
      </c>
      <c r="B563" s="5" t="s">
        <v>422</v>
      </c>
      <c r="C563" s="29">
        <f>HYPERLINK("[N&amp;P Old retention.xlsx]'Lake P Results'!AE109", 100.226)</f>
        <v>100.226</v>
      </c>
      <c r="D563" s="29">
        <f>HYPERLINK("[N&amp;P New retention.xlsx]'Lake P Results'!AE109", 101.454)</f>
        <v>101.45399999999999</v>
      </c>
      <c r="E563" s="29">
        <f>HYPERLINK("[N&amp;P with New retention and Differentiation.xlsx]'Lake P Results'!AE109", 101.244)</f>
        <v>101.244</v>
      </c>
      <c r="F563" s="46">
        <f>D563-C563</f>
        <v>1.2279999999999944</v>
      </c>
      <c r="G563" s="46">
        <f>E563-C563</f>
        <v>1.0180000000000007</v>
      </c>
      <c r="H563" s="28">
        <f>HYPERLINK("[N&amp;P Old retention.xlsx]'Lake P Results'!AM109", 69300)</f>
        <v>69300</v>
      </c>
      <c r="I563" s="28">
        <f>HYPERLINK("[N&amp;P New retention.xlsx]'Lake P Results'!AM109", 68000)</f>
        <v>68000</v>
      </c>
      <c r="J563" s="28">
        <f>HYPERLINK("[N&amp;P with New retention and Differentiation.xlsx]'Lake P Results'!AM109", 68100)</f>
        <v>68100</v>
      </c>
      <c r="K563" s="21">
        <f>I563-H563</f>
        <v>-1300</v>
      </c>
      <c r="L563" s="21">
        <f>J563-H563</f>
        <v>-1200</v>
      </c>
      <c r="M563" s="29">
        <f>HYPERLINK("[N&amp;P Old retention.xlsx]'Lake P Results'!AC109", 1.284)</f>
        <v>1.284</v>
      </c>
      <c r="N563" s="29">
        <f>HYPERLINK("[N&amp;P New retention.xlsx]'Lake P Results'!AC109", 0.264000000000001)</f>
        <v>0.26400000000000101</v>
      </c>
      <c r="O563" s="29">
        <f>HYPERLINK("[N&amp;P with New retention and Differentiation.xlsx]'Lake P Results'!AC109", 1.284)</f>
        <v>1.284</v>
      </c>
      <c r="P563" s="47">
        <f>N563-M563</f>
        <v>-1.0199999999999991</v>
      </c>
      <c r="Q563" s="13"/>
      <c r="R563" s="29">
        <f>HYPERLINK("[N&amp;P Old retention.xlsx]'Lake P Results'!Y109", 4.11)</f>
        <v>4.1100000000000003</v>
      </c>
      <c r="S563" s="29">
        <f>HYPERLINK("[N&amp;P New retention.xlsx]'Lake P Results'!Y109", 1.02)</f>
        <v>1.02</v>
      </c>
      <c r="T563" s="13"/>
      <c r="U563" s="47">
        <f>S563-R563</f>
        <v>-3.0900000000000003</v>
      </c>
      <c r="V563" s="47">
        <f>T563-R563</f>
        <v>-4.1100000000000003</v>
      </c>
      <c r="W563" s="29">
        <f>HYPERLINK("[N&amp;P Old retention.xlsx]'Lake P Results'!V109", 12.4)</f>
        <v>12.4</v>
      </c>
      <c r="X563" s="13"/>
      <c r="Y563" s="13"/>
      <c r="Z563" s="47">
        <f>X563-W563</f>
        <v>-12.4</v>
      </c>
      <c r="AA563" s="47">
        <f>Y563-W563</f>
        <v>-12.4</v>
      </c>
      <c r="AB563" s="29">
        <f>HYPERLINK("[N&amp;P Old retention.xlsx]'Lake P Results'!Z109", 5.06)</f>
        <v>5.0599999999999996</v>
      </c>
      <c r="AC563" s="29">
        <f>HYPERLINK("[N&amp;P New retention.xlsx]'Lake P Results'!Z109", 3.62)</f>
        <v>3.62</v>
      </c>
      <c r="AD563" s="29">
        <f>HYPERLINK("[N&amp;P with New retention and Differentiation.xlsx]'Lake P Results'!Z109", 3.62)</f>
        <v>3.62</v>
      </c>
      <c r="AE563" s="47">
        <f>AC563-AB563</f>
        <v>-1.4399999999999995</v>
      </c>
      <c r="AF563" s="47">
        <f>AD563-AB563</f>
        <v>-1.4399999999999995</v>
      </c>
      <c r="AG563" s="29">
        <f>HYPERLINK("[N&amp;P Old retention.xlsx]'Lake P Results'!AA109", 1.59)</f>
        <v>1.59</v>
      </c>
      <c r="AH563" s="29">
        <f>HYPERLINK("[N&amp;P New retention.xlsx]'Lake P Results'!AA109", 1.15)</f>
        <v>1.1499999999999999</v>
      </c>
      <c r="AI563" s="29">
        <f>HYPERLINK("[N&amp;P with New retention and Differentiation.xlsx]'Lake P Results'!AA109", 1.15)</f>
        <v>1.1499999999999999</v>
      </c>
      <c r="AJ563" s="47">
        <f>AH563-AG563</f>
        <v>-0.44000000000000017</v>
      </c>
      <c r="AK563" s="47">
        <f>AI563-AG563</f>
        <v>-0.44000000000000017</v>
      </c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29">
        <f>HYPERLINK("[N&amp;P Old retention.xlsx]'Lake P Results'!M109", 3771.468)</f>
        <v>3771.4679999999998</v>
      </c>
      <c r="AW563" s="29">
        <f>HYPERLINK("[N&amp;P New retention.xlsx]'Lake P Results'!M109", 3721.582)</f>
        <v>3721.5819999999999</v>
      </c>
      <c r="AX563" s="29">
        <f>HYPERLINK("[N&amp;P with New retention and Differentiation.xlsx]'Lake P Results'!M109", 3717.742)</f>
        <v>3717.7420000000002</v>
      </c>
      <c r="AY563" s="47">
        <f>AW563-AV563</f>
        <v>-49.885999999999967</v>
      </c>
      <c r="AZ563" s="47">
        <f>AX563-AV563</f>
        <v>-53.725999999999658</v>
      </c>
      <c r="BA563" s="29">
        <f>HYPERLINK("[N&amp;P Old retention.xlsx]'Lake P Results'!O109", 53.524)</f>
        <v>53.524000000000001</v>
      </c>
      <c r="BB563" s="29">
        <f>HYPERLINK("[N&amp;P New retention.xlsx]'Lake P Results'!O109", 34.388)</f>
        <v>34.387999999999998</v>
      </c>
      <c r="BC563" s="29">
        <f>HYPERLINK("[N&amp;P with New retention and Differentiation.xlsx]'Lake P Results'!O109", 31.488)</f>
        <v>31.488</v>
      </c>
      <c r="BD563" s="47">
        <f>BB563-BA563</f>
        <v>-19.136000000000003</v>
      </c>
      <c r="BE563" s="47">
        <f>BC563-BA563</f>
        <v>-22.036000000000001</v>
      </c>
      <c r="BF563" s="29">
        <f>HYPERLINK("[N&amp;P Old retention.xlsx]'Lake P Results'!R109", 79.844)</f>
        <v>79.843999999999994</v>
      </c>
      <c r="BG563" s="29">
        <f>HYPERLINK("[N&amp;P New retention.xlsx]'Lake P Results'!R109", 26.794)</f>
        <v>26.794</v>
      </c>
      <c r="BH563" s="29">
        <f>HYPERLINK("[N&amp;P with New retention and Differentiation.xlsx]'Lake P Results'!R109", 26.794)</f>
        <v>26.794</v>
      </c>
      <c r="BI563" s="47">
        <f>BG563-BF563</f>
        <v>-53.05</v>
      </c>
      <c r="BJ563" s="47">
        <f>BH563-BF563</f>
        <v>-53.05</v>
      </c>
      <c r="BK563" s="29">
        <f>HYPERLINK("[N&amp;P Old retention.xlsx]'Lake P Results'!Q109", 164.236)</f>
        <v>164.23599999999999</v>
      </c>
      <c r="BL563" s="29">
        <f>HYPERLINK("[N&amp;P New retention.xlsx]'Lake P Results'!Q109", 105.988)</f>
        <v>105.988</v>
      </c>
      <c r="BM563" s="29">
        <f>HYPERLINK("[N&amp;P with New retention and Differentiation.xlsx]'Lake P Results'!Q109", 106.948)</f>
        <v>106.94799999999999</v>
      </c>
      <c r="BN563" s="47">
        <f>BL563-BK563</f>
        <v>-58.24799999999999</v>
      </c>
      <c r="BO563" s="47">
        <f>BM563-BK563</f>
        <v>-57.287999999999997</v>
      </c>
    </row>
    <row r="564" spans="1:67" x14ac:dyDescent="0.55000000000000004">
      <c r="A564" s="30">
        <v>329</v>
      </c>
      <c r="B564" s="6" t="s">
        <v>423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</row>
    <row r="565" spans="1:67" x14ac:dyDescent="0.55000000000000004">
      <c r="A565" s="31">
        <v>330</v>
      </c>
      <c r="B565" s="5" t="s">
        <v>424</v>
      </c>
      <c r="C565" s="29">
        <f>HYPERLINK("[N&amp;P Old retention.xlsx]'Lake P Results'!AE111", 1.352)</f>
        <v>1.3520000000000001</v>
      </c>
      <c r="D565" s="29">
        <f>HYPERLINK("[N&amp;P New retention.xlsx]'Lake P Results'!AE111", 1.352)</f>
        <v>1.3520000000000001</v>
      </c>
      <c r="E565" s="29">
        <f>HYPERLINK("[N&amp;P with New retention and Differentiation.xlsx]'Lake P Results'!AE111", 1.352)</f>
        <v>1.3520000000000001</v>
      </c>
      <c r="F565" s="13"/>
      <c r="G565" s="13"/>
      <c r="H565" s="28">
        <f>HYPERLINK("[N&amp;P Old retention.xlsx]'Lake P Results'!AM111", 35200)</f>
        <v>35200</v>
      </c>
      <c r="I565" s="28">
        <f>HYPERLINK("[N&amp;P New retention.xlsx]'Lake P Results'!AM111", 35200)</f>
        <v>35200</v>
      </c>
      <c r="J565" s="28">
        <f>HYPERLINK("[N&amp;P with New retention and Differentiation.xlsx]'Lake P Results'!AM111", 35200)</f>
        <v>35200</v>
      </c>
      <c r="K565" s="13"/>
      <c r="L565" s="13"/>
      <c r="M565" s="29">
        <f>HYPERLINK("[N&amp;P Old retention.xlsx]'Lake P Results'!AC111", 34.31)</f>
        <v>34.31</v>
      </c>
      <c r="N565" s="29">
        <f>HYPERLINK("[N&amp;P New retention.xlsx]'Lake P Results'!AC111", 53.92)</f>
        <v>53.92</v>
      </c>
      <c r="O565" s="29">
        <f>HYPERLINK("[N&amp;P with New retention and Differentiation.xlsx]'Lake P Results'!AC111", 61.68)</f>
        <v>61.68</v>
      </c>
      <c r="P565" s="46">
        <f>N565-M565</f>
        <v>19.61</v>
      </c>
      <c r="Q565" s="46">
        <f>O565-M565</f>
        <v>27.369999999999997</v>
      </c>
      <c r="R565" s="29">
        <f>HYPERLINK("[N&amp;P Old retention.xlsx]'Lake P Results'!Y111", 39.53)</f>
        <v>39.53</v>
      </c>
      <c r="S565" s="29">
        <f>HYPERLINK("[N&amp;P New retention.xlsx]'Lake P Results'!Y111", 22.63)</f>
        <v>22.63</v>
      </c>
      <c r="T565" s="29">
        <f>HYPERLINK("[N&amp;P with New retention and Differentiation.xlsx]'Lake P Results'!Y111", 22.35)</f>
        <v>22.35</v>
      </c>
      <c r="U565" s="47">
        <f>S565-R565</f>
        <v>-16.900000000000002</v>
      </c>
      <c r="V565" s="47">
        <f>T565-R565</f>
        <v>-17.18</v>
      </c>
      <c r="W565" s="29">
        <f>HYPERLINK("[N&amp;P Old retention.xlsx]'Lake P Results'!V111", 21.7)</f>
        <v>21.7</v>
      </c>
      <c r="X565" s="29">
        <f>HYPERLINK("[N&amp;P New retention.xlsx]'Lake P Results'!V111", 21.7)</f>
        <v>21.7</v>
      </c>
      <c r="Y565" s="29">
        <f>HYPERLINK("[N&amp;P with New retention and Differentiation.xlsx]'Lake P Results'!V111", 21.7)</f>
        <v>21.7</v>
      </c>
      <c r="Z565" s="13"/>
      <c r="AA565" s="13"/>
      <c r="AB565" s="29">
        <f>HYPERLINK("[N&amp;P Old retention.xlsx]'Lake P Results'!Z111", 33.384)</f>
        <v>33.384</v>
      </c>
      <c r="AC565" s="29">
        <f>HYPERLINK("[N&amp;P New retention.xlsx]'Lake P Results'!Z111", 30.674)</f>
        <v>30.673999999999999</v>
      </c>
      <c r="AD565" s="29">
        <f>HYPERLINK("[N&amp;P with New retention and Differentiation.xlsx]'Lake P Results'!Z111", 23.194)</f>
        <v>23.193999999999999</v>
      </c>
      <c r="AE565" s="47">
        <f>AC565-AB565</f>
        <v>-2.7100000000000009</v>
      </c>
      <c r="AF565" s="47">
        <f>AD565-AB565</f>
        <v>-10.190000000000001</v>
      </c>
      <c r="AG565" s="29">
        <f>HYPERLINK("[N&amp;P Old retention.xlsx]'Lake P Results'!AA111", 19.564)</f>
        <v>19.564</v>
      </c>
      <c r="AH565" s="29">
        <f>HYPERLINK("[N&amp;P New retention.xlsx]'Lake P Results'!AA111", 19.564)</f>
        <v>19.564</v>
      </c>
      <c r="AI565" s="29">
        <f>HYPERLINK("[N&amp;P with New retention and Differentiation.xlsx]'Lake P Results'!AA111", 19.564)</f>
        <v>19.564</v>
      </c>
      <c r="AJ565" s="13"/>
      <c r="AK565" s="13"/>
      <c r="AL565" s="13"/>
      <c r="AM565" s="13"/>
      <c r="AN565" s="13"/>
      <c r="AO565" s="13"/>
      <c r="AP565" s="13"/>
      <c r="AQ565" s="28">
        <f>HYPERLINK("[N&amp;P Old retention.xlsx]'Lake P Results'!AH111", 120)</f>
        <v>120</v>
      </c>
      <c r="AR565" s="28">
        <f>HYPERLINK("[N&amp;P New retention.xlsx]'Lake P Results'!AH111", 120)</f>
        <v>120</v>
      </c>
      <c r="AS565" s="28">
        <f>HYPERLINK("[N&amp;P with New retention and Differentiation.xlsx]'Lake P Results'!AH111", 120)</f>
        <v>120</v>
      </c>
      <c r="AT565" s="13"/>
      <c r="AU565" s="13"/>
      <c r="AV565" s="29">
        <f>HYPERLINK("[N&amp;P Old retention.xlsx]'Lake P Results'!M111", 1499.22)</f>
        <v>1499.22</v>
      </c>
      <c r="AW565" s="29">
        <f>HYPERLINK("[N&amp;P New retention.xlsx]'Lake P Results'!M111", 1492.63)</f>
        <v>1492.63</v>
      </c>
      <c r="AX565" s="29">
        <f>HYPERLINK("[N&amp;P with New retention and Differentiation.xlsx]'Lake P Results'!M111", 1492.63)</f>
        <v>1492.63</v>
      </c>
      <c r="AY565" s="47">
        <f>AW565-AV565</f>
        <v>-6.5899999999999181</v>
      </c>
      <c r="AZ565" s="47">
        <f>AX565-AV565</f>
        <v>-6.5899999999999181</v>
      </c>
      <c r="BA565" s="29">
        <f>HYPERLINK("[N&amp;P Old retention.xlsx]'Lake P Results'!O111", 104.252)</f>
        <v>104.252</v>
      </c>
      <c r="BB565" s="29">
        <f>HYPERLINK("[N&amp;P New retention.xlsx]'Lake P Results'!O111", 104.252)</f>
        <v>104.252</v>
      </c>
      <c r="BC565" s="29">
        <f>HYPERLINK("[N&amp;P with New retention and Differentiation.xlsx]'Lake P Results'!O111", 104.252)</f>
        <v>104.252</v>
      </c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</row>
    <row r="566" spans="1:67" x14ac:dyDescent="0.55000000000000004">
      <c r="A566" s="30">
        <v>331</v>
      </c>
      <c r="B566" s="6" t="s">
        <v>425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</row>
    <row r="567" spans="1:67" x14ac:dyDescent="0.55000000000000004">
      <c r="A567" s="31">
        <v>337</v>
      </c>
      <c r="B567" s="5" t="s">
        <v>426</v>
      </c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29">
        <f>HYPERLINK("[N&amp;P Old retention.xlsx]'Lake P Results'!M113", 20.75)</f>
        <v>20.75</v>
      </c>
      <c r="AW567" s="29">
        <f>HYPERLINK("[N&amp;P New retention.xlsx]'Lake P Results'!M113", 20.75)</f>
        <v>20.75</v>
      </c>
      <c r="AX567" s="29">
        <f>HYPERLINK("[N&amp;P with New retention and Differentiation.xlsx]'Lake P Results'!M113", 20.75)</f>
        <v>20.75</v>
      </c>
      <c r="AY567" s="13"/>
      <c r="AZ567" s="13"/>
      <c r="BA567" s="13"/>
      <c r="BB567" s="13"/>
      <c r="BC567" s="13"/>
      <c r="BD567" s="13"/>
      <c r="BE567" s="13"/>
      <c r="BF567" s="29">
        <f>HYPERLINK("[N&amp;P Old retention.xlsx]'Lake P Results'!R113", 0.08)</f>
        <v>0.08</v>
      </c>
      <c r="BG567" s="13"/>
      <c r="BH567" s="13"/>
      <c r="BI567" s="47">
        <f>BG567-BF567</f>
        <v>-0.08</v>
      </c>
      <c r="BJ567" s="47">
        <f>BH567-BF567</f>
        <v>-0.08</v>
      </c>
      <c r="BK567" s="29">
        <f>HYPERLINK("[N&amp;P Old retention.xlsx]'Lake P Results'!Q113", 0.56)</f>
        <v>0.56000000000000005</v>
      </c>
      <c r="BL567" s="29">
        <f>HYPERLINK("[N&amp;P New retention.xlsx]'Lake P Results'!Q113", 0.56)</f>
        <v>0.56000000000000005</v>
      </c>
      <c r="BM567" s="29">
        <f>HYPERLINK("[N&amp;P with New retention and Differentiation.xlsx]'Lake P Results'!Q113", 0.56)</f>
        <v>0.56000000000000005</v>
      </c>
      <c r="BN567" s="13"/>
      <c r="BO567" s="13"/>
    </row>
    <row r="568" spans="1:67" x14ac:dyDescent="0.55000000000000004">
      <c r="A568" s="30">
        <v>338</v>
      </c>
      <c r="B568" s="6" t="s">
        <v>427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</row>
    <row r="569" spans="1:67" x14ac:dyDescent="0.55000000000000004">
      <c r="A569" s="31">
        <v>339</v>
      </c>
      <c r="B569" s="5" t="s">
        <v>428</v>
      </c>
      <c r="C569" s="29">
        <f>HYPERLINK("[N&amp;P Old retention.xlsx]'Lake P Results'!AE115", 141.334)</f>
        <v>141.334</v>
      </c>
      <c r="D569" s="29">
        <f>HYPERLINK("[N&amp;P New retention.xlsx]'Lake P Results'!AE115", 141.334)</f>
        <v>141.334</v>
      </c>
      <c r="E569" s="29">
        <f>HYPERLINK("[N&amp;P with New retention and Differentiation.xlsx]'Lake P Results'!AE115", 141.334)</f>
        <v>141.334</v>
      </c>
      <c r="F569" s="13"/>
      <c r="G569" s="13"/>
      <c r="H569" s="28">
        <f>HYPERLINK("[N&amp;P Old retention.xlsx]'Lake P Results'!AM115", 129900)</f>
        <v>129900</v>
      </c>
      <c r="I569" s="28">
        <f>HYPERLINK("[N&amp;P New retention.xlsx]'Lake P Results'!AM115", 129900)</f>
        <v>129900</v>
      </c>
      <c r="J569" s="28">
        <f>HYPERLINK("[N&amp;P with New retention and Differentiation.xlsx]'Lake P Results'!AM115", 129900)</f>
        <v>129900</v>
      </c>
      <c r="K569" s="13"/>
      <c r="L569" s="13"/>
      <c r="M569" s="29">
        <f>HYPERLINK("[N&amp;P Old retention.xlsx]'Lake P Results'!AC115", 155.242)</f>
        <v>155.24199999999999</v>
      </c>
      <c r="N569" s="29">
        <f>HYPERLINK("[N&amp;P New retention.xlsx]'Lake P Results'!AC115", 231.706)</f>
        <v>231.70599999999999</v>
      </c>
      <c r="O569" s="29">
        <f>HYPERLINK("[N&amp;P with New retention and Differentiation.xlsx]'Lake P Results'!AC115", 137.468)</f>
        <v>137.46799999999999</v>
      </c>
      <c r="P569" s="46">
        <f>N569-M569</f>
        <v>76.463999999999999</v>
      </c>
      <c r="Q569" s="47">
        <f>O569-M569</f>
        <v>-17.774000000000001</v>
      </c>
      <c r="R569" s="29">
        <f>HYPERLINK("[N&amp;P Old retention.xlsx]'Lake P Results'!Y115", 135.93)</f>
        <v>135.93</v>
      </c>
      <c r="S569" s="29">
        <f>HYPERLINK("[N&amp;P New retention.xlsx]'Lake P Results'!Y115", 87.964)</f>
        <v>87.963999999999999</v>
      </c>
      <c r="T569" s="29">
        <f>HYPERLINK("[N&amp;P with New retention and Differentiation.xlsx]'Lake P Results'!Y115", 150.44)</f>
        <v>150.44</v>
      </c>
      <c r="U569" s="47">
        <f>S569-R569</f>
        <v>-47.966000000000008</v>
      </c>
      <c r="V569" s="46">
        <f>T569-R569</f>
        <v>14.509999999999991</v>
      </c>
      <c r="W569" s="29">
        <f>HYPERLINK("[N&amp;P Old retention.xlsx]'Lake P Results'!V115", 282.146)</f>
        <v>282.14600000000002</v>
      </c>
      <c r="X569" s="29">
        <f>HYPERLINK("[N&amp;P New retention.xlsx]'Lake P Results'!V115", 282.146)</f>
        <v>282.14600000000002</v>
      </c>
      <c r="Y569" s="29">
        <f>HYPERLINK("[N&amp;P with New retention and Differentiation.xlsx]'Lake P Results'!V115", 282.146)</f>
        <v>282.14600000000002</v>
      </c>
      <c r="Z569" s="13"/>
      <c r="AA569" s="13"/>
      <c r="AB569" s="29">
        <f>HYPERLINK("[N&amp;P Old retention.xlsx]'Lake P Results'!Z115", 221.344)</f>
        <v>221.34399999999999</v>
      </c>
      <c r="AC569" s="29">
        <f>HYPERLINK("[N&amp;P New retention.xlsx]'Lake P Results'!Z115", 192.846)</f>
        <v>192.846</v>
      </c>
      <c r="AD569" s="29">
        <f>HYPERLINK("[N&amp;P with New retention and Differentiation.xlsx]'Lake P Results'!Z115", 224.608)</f>
        <v>224.608</v>
      </c>
      <c r="AE569" s="47">
        <f>AC569-AB569</f>
        <v>-28.49799999999999</v>
      </c>
      <c r="AF569" s="46">
        <f>AD569-AB569</f>
        <v>3.26400000000001</v>
      </c>
      <c r="AG569" s="29">
        <f>HYPERLINK("[N&amp;P Old retention.xlsx]'Lake P Results'!AA115", 41.294)</f>
        <v>41.293999999999997</v>
      </c>
      <c r="AH569" s="29">
        <f>HYPERLINK("[N&amp;P New retention.xlsx]'Lake P Results'!AA115", 41.294)</f>
        <v>41.293999999999997</v>
      </c>
      <c r="AI569" s="29">
        <f>HYPERLINK("[N&amp;P with New retention and Differentiation.xlsx]'Lake P Results'!AA115", 41.294)</f>
        <v>41.293999999999997</v>
      </c>
      <c r="AJ569" s="13"/>
      <c r="AK569" s="13"/>
      <c r="AL569" s="29">
        <f>HYPERLINK("[N&amp;P Old retention.xlsx]'Lake P Results'!AF115", 0.44)</f>
        <v>0.44</v>
      </c>
      <c r="AM569" s="29">
        <f>HYPERLINK("[N&amp;P New retention.xlsx]'Lake P Results'!AF115", 0.44)</f>
        <v>0.44</v>
      </c>
      <c r="AN569" s="29">
        <f>HYPERLINK("[N&amp;P with New retention and Differentiation.xlsx]'Lake P Results'!AF115", 0.44)</f>
        <v>0.44</v>
      </c>
      <c r="AO569" s="13"/>
      <c r="AP569" s="13"/>
      <c r="AQ569" s="28">
        <f>HYPERLINK("[N&amp;P Old retention.xlsx]'Lake P Results'!AH115", 3369.99999999371)</f>
        <v>3369.9999999937099</v>
      </c>
      <c r="AR569" s="28">
        <f>HYPERLINK("[N&amp;P New retention.xlsx]'Lake P Results'!AH115", 3369.99999999371)</f>
        <v>3369.9999999937099</v>
      </c>
      <c r="AS569" s="28">
        <f>HYPERLINK("[N&amp;P with New retention and Differentiation.xlsx]'Lake P Results'!AH115", 3369.99999999371)</f>
        <v>3369.9999999937099</v>
      </c>
      <c r="AT569" s="21">
        <f>AR569-AQ569</f>
        <v>0</v>
      </c>
      <c r="AU569" s="13"/>
      <c r="AV569" s="29">
        <f>HYPERLINK("[N&amp;P Old retention.xlsx]'Lake P Results'!M115", 3666.83)</f>
        <v>3666.83</v>
      </c>
      <c r="AW569" s="29">
        <f>HYPERLINK("[N&amp;P New retention.xlsx]'Lake P Results'!M115", 3666.83)</f>
        <v>3666.83</v>
      </c>
      <c r="AX569" s="29">
        <f>HYPERLINK("[N&amp;P with New retention and Differentiation.xlsx]'Lake P Results'!M115", 3666.83)</f>
        <v>3666.83</v>
      </c>
      <c r="AY569" s="13"/>
      <c r="AZ569" s="13"/>
      <c r="BA569" s="29">
        <f>HYPERLINK("[N&amp;P Old retention.xlsx]'Lake P Results'!O115", 105.432)</f>
        <v>105.432</v>
      </c>
      <c r="BB569" s="29">
        <f>HYPERLINK("[N&amp;P New retention.xlsx]'Lake P Results'!O115", 105.432)</f>
        <v>105.432</v>
      </c>
      <c r="BC569" s="29">
        <f>HYPERLINK("[N&amp;P with New retention and Differentiation.xlsx]'Lake P Results'!O115", 105.432)</f>
        <v>105.432</v>
      </c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</row>
    <row r="570" spans="1:67" x14ac:dyDescent="0.55000000000000004">
      <c r="A570" s="30">
        <v>340</v>
      </c>
      <c r="B570" s="6" t="s">
        <v>429</v>
      </c>
      <c r="C570" s="18"/>
      <c r="D570" s="18"/>
      <c r="E570" s="18"/>
      <c r="F570" s="18"/>
      <c r="G570" s="18"/>
      <c r="H570" s="26">
        <f>HYPERLINK("[N&amp;P Old retention.xlsx]'Lake P Results'!AM116", 400)</f>
        <v>400</v>
      </c>
      <c r="I570" s="26">
        <f>HYPERLINK("[N&amp;P New retention.xlsx]'Lake P Results'!AM116", 400)</f>
        <v>400</v>
      </c>
      <c r="J570" s="26">
        <f>HYPERLINK("[N&amp;P with New retention and Differentiation.xlsx]'Lake P Results'!AM116", 400)</f>
        <v>400</v>
      </c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27">
        <f>HYPERLINK("[N&amp;P Old retention.xlsx]'Lake P Results'!M116", 53.5)</f>
        <v>53.5</v>
      </c>
      <c r="AW570" s="27">
        <f>HYPERLINK("[N&amp;P New retention.xlsx]'Lake P Results'!M116", 53.5)</f>
        <v>53.5</v>
      </c>
      <c r="AX570" s="27">
        <f>HYPERLINK("[N&amp;P with New retention and Differentiation.xlsx]'Lake P Results'!M116", 53.5)</f>
        <v>53.5</v>
      </c>
      <c r="AY570" s="18"/>
      <c r="AZ570" s="18"/>
      <c r="BA570" s="27">
        <f>HYPERLINK("[N&amp;P Old retention.xlsx]'Lake P Results'!O116", 5.59)</f>
        <v>5.59</v>
      </c>
      <c r="BB570" s="27">
        <f>HYPERLINK("[N&amp;P New retention.xlsx]'Lake P Results'!O116", 5.59)</f>
        <v>5.59</v>
      </c>
      <c r="BC570" s="27">
        <f>HYPERLINK("[N&amp;P with New retention and Differentiation.xlsx]'Lake P Results'!O116", 5.59)</f>
        <v>5.59</v>
      </c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</row>
    <row r="571" spans="1:67" x14ac:dyDescent="0.55000000000000004">
      <c r="A571" s="31">
        <v>341</v>
      </c>
      <c r="B571" s="5" t="s">
        <v>430</v>
      </c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</row>
    <row r="572" spans="1:67" x14ac:dyDescent="0.55000000000000004">
      <c r="A572" s="30">
        <v>343</v>
      </c>
      <c r="B572" s="6" t="s">
        <v>431</v>
      </c>
      <c r="C572" s="27">
        <f>HYPERLINK("[N&amp;P Old retention.xlsx]'Lake P Results'!AE118", 42)</f>
        <v>42</v>
      </c>
      <c r="D572" s="27">
        <f>HYPERLINK("[N&amp;P New retention.xlsx]'Lake P Results'!AE118", 42)</f>
        <v>42</v>
      </c>
      <c r="E572" s="27">
        <f>HYPERLINK("[N&amp;P with New retention and Differentiation.xlsx]'Lake P Results'!AE118", 42)</f>
        <v>42</v>
      </c>
      <c r="F572" s="18"/>
      <c r="G572" s="18"/>
      <c r="H572" s="26">
        <f>HYPERLINK("[N&amp;P Old retention.xlsx]'Lake P Results'!AM118", 140900)</f>
        <v>140900</v>
      </c>
      <c r="I572" s="26">
        <f>HYPERLINK("[N&amp;P New retention.xlsx]'Lake P Results'!AM118", 140900)</f>
        <v>140900</v>
      </c>
      <c r="J572" s="26">
        <f>HYPERLINK("[N&amp;P with New retention and Differentiation.xlsx]'Lake P Results'!AM118", 140900)</f>
        <v>140900</v>
      </c>
      <c r="K572" s="18"/>
      <c r="L572" s="18"/>
      <c r="M572" s="27">
        <f>HYPERLINK("[N&amp;P Old retention.xlsx]'Lake P Results'!AC118", 99.668)</f>
        <v>99.668000000000006</v>
      </c>
      <c r="N572" s="27">
        <f>HYPERLINK("[N&amp;P New retention.xlsx]'Lake P Results'!AC118", 93.308)</f>
        <v>93.308000000000007</v>
      </c>
      <c r="O572" s="27">
        <f>HYPERLINK("[N&amp;P with New retention and Differentiation.xlsx]'Lake P Results'!AC118", 115.478)</f>
        <v>115.47799999999999</v>
      </c>
      <c r="P572" s="47">
        <f>N572-M572</f>
        <v>-6.3599999999999994</v>
      </c>
      <c r="Q572" s="46">
        <f>O572-M572</f>
        <v>15.809999999999988</v>
      </c>
      <c r="R572" s="27">
        <f>HYPERLINK("[N&amp;P Old retention.xlsx]'Lake P Results'!Y118", 144.118)</f>
        <v>144.11799999999999</v>
      </c>
      <c r="S572" s="27">
        <f>HYPERLINK("[N&amp;P New retention.xlsx]'Lake P Results'!Y118", 148.16)</f>
        <v>148.16</v>
      </c>
      <c r="T572" s="27">
        <f>HYPERLINK("[N&amp;P with New retention and Differentiation.xlsx]'Lake P Results'!Y118", 150.498)</f>
        <v>150.49799999999999</v>
      </c>
      <c r="U572" s="46">
        <f>S572-R572</f>
        <v>4.0420000000000016</v>
      </c>
      <c r="V572" s="46">
        <f>T572-R572</f>
        <v>6.3799999999999955</v>
      </c>
      <c r="W572" s="27">
        <f>HYPERLINK("[N&amp;P Old retention.xlsx]'Lake P Results'!V118", 208.55)</f>
        <v>208.55</v>
      </c>
      <c r="X572" s="27">
        <f>HYPERLINK("[N&amp;P New retention.xlsx]'Lake P Results'!V118", 208.55)</f>
        <v>208.55</v>
      </c>
      <c r="Y572" s="27">
        <f>HYPERLINK("[N&amp;P with New retention and Differentiation.xlsx]'Lake P Results'!V118", 208.55)</f>
        <v>208.55</v>
      </c>
      <c r="Z572" s="18"/>
      <c r="AA572" s="18"/>
      <c r="AB572" s="27">
        <f>HYPERLINK("[N&amp;P Old retention.xlsx]'Lake P Results'!Z118", 119.15)</f>
        <v>119.15</v>
      </c>
      <c r="AC572" s="27">
        <f>HYPERLINK("[N&amp;P New retention.xlsx]'Lake P Results'!Z118", 121.468)</f>
        <v>121.468</v>
      </c>
      <c r="AD572" s="27">
        <f>HYPERLINK("[N&amp;P with New retention and Differentiation.xlsx]'Lake P Results'!Z118", 96.96)</f>
        <v>96.96</v>
      </c>
      <c r="AE572" s="46">
        <f>AC572-AB572</f>
        <v>2.3179999999999978</v>
      </c>
      <c r="AF572" s="47">
        <f>AD572-AB572</f>
        <v>-22.190000000000012</v>
      </c>
      <c r="AG572" s="27">
        <f>HYPERLINK("[N&amp;P Old retention.xlsx]'Lake P Results'!AA118", 0.982)</f>
        <v>0.98199999999999998</v>
      </c>
      <c r="AH572" s="27">
        <f>HYPERLINK("[N&amp;P New retention.xlsx]'Lake P Results'!AA118", 0.982)</f>
        <v>0.98199999999999998</v>
      </c>
      <c r="AI572" s="27">
        <f>HYPERLINK("[N&amp;P with New retention and Differentiation.xlsx]'Lake P Results'!AA118", 0.982)</f>
        <v>0.98199999999999998</v>
      </c>
      <c r="AJ572" s="18"/>
      <c r="AK572" s="18"/>
      <c r="AL572" s="27">
        <f>HYPERLINK("[N&amp;P Old retention.xlsx]'Lake P Results'!AF118", 0.0199999999999999)</f>
        <v>1.99999999999999E-2</v>
      </c>
      <c r="AM572" s="27">
        <f>HYPERLINK("[N&amp;P New retention.xlsx]'Lake P Results'!AF118", 0.0199999999999999)</f>
        <v>1.99999999999999E-2</v>
      </c>
      <c r="AN572" s="27">
        <f>HYPERLINK("[N&amp;P with New retention and Differentiation.xlsx]'Lake P Results'!AF118", 0.0199999999999999)</f>
        <v>1.99999999999999E-2</v>
      </c>
      <c r="AO572" s="18"/>
      <c r="AP572" s="18"/>
      <c r="AQ572" s="26">
        <f>HYPERLINK("[N&amp;P Old retention.xlsx]'Lake P Results'!AH118", 1290)</f>
        <v>1290</v>
      </c>
      <c r="AR572" s="26">
        <f>HYPERLINK("[N&amp;P New retention.xlsx]'Lake P Results'!AH118", 1290)</f>
        <v>1290</v>
      </c>
      <c r="AS572" s="26">
        <f>HYPERLINK("[N&amp;P with New retention and Differentiation.xlsx]'Lake P Results'!AH118", 1290)</f>
        <v>1290</v>
      </c>
      <c r="AT572" s="18"/>
      <c r="AU572" s="18"/>
      <c r="AV572" s="27">
        <f>HYPERLINK("[N&amp;P Old retention.xlsx]'Lake P Results'!M118", 4180.54896276596)</f>
        <v>4180.5489627659599</v>
      </c>
      <c r="AW572" s="27">
        <f>HYPERLINK("[N&amp;P New retention.xlsx]'Lake P Results'!M118", 4180.54896276596)</f>
        <v>4180.5489627659599</v>
      </c>
      <c r="AX572" s="27">
        <f>HYPERLINK("[N&amp;P with New retention and Differentiation.xlsx]'Lake P Results'!M118", 4180.54896276596)</f>
        <v>4180.5489627659599</v>
      </c>
      <c r="AY572" s="18"/>
      <c r="AZ572" s="18"/>
      <c r="BA572" s="27">
        <f>HYPERLINK("[N&amp;P Old retention.xlsx]'Lake P Results'!O118", 64.3729589041096)</f>
        <v>64.372958904109595</v>
      </c>
      <c r="BB572" s="27">
        <f>HYPERLINK("[N&amp;P New retention.xlsx]'Lake P Results'!O118", 64.3729589041096)</f>
        <v>64.372958904109595</v>
      </c>
      <c r="BC572" s="27">
        <f>HYPERLINK("[N&amp;P with New retention and Differentiation.xlsx]'Lake P Results'!O118", 64.3729589041096)</f>
        <v>64.372958904109595</v>
      </c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</row>
    <row r="573" spans="1:67" x14ac:dyDescent="0.55000000000000004">
      <c r="A573" s="31">
        <v>347</v>
      </c>
      <c r="B573" s="5" t="s">
        <v>432</v>
      </c>
      <c r="C573" s="13"/>
      <c r="D573" s="13"/>
      <c r="E573" s="13"/>
      <c r="F573" s="13"/>
      <c r="G573" s="13"/>
      <c r="H573" s="28">
        <f>HYPERLINK("[N&amp;P Old retention.xlsx]'Lake P Results'!AM119", 8800)</f>
        <v>8800</v>
      </c>
      <c r="I573" s="28">
        <f>HYPERLINK("[N&amp;P New retention.xlsx]'Lake P Results'!AM119", 8800)</f>
        <v>8800</v>
      </c>
      <c r="J573" s="28">
        <f>HYPERLINK("[N&amp;P with New retention and Differentiation.xlsx]'Lake P Results'!AM119", 8800)</f>
        <v>8800</v>
      </c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29">
        <f>HYPERLINK("[N&amp;P Old retention.xlsx]'Lake P Results'!AA119", 2.18)</f>
        <v>2.1800000000000002</v>
      </c>
      <c r="AH573" s="29">
        <f>HYPERLINK("[N&amp;P New retention.xlsx]'Lake P Results'!AA119", 2.18)</f>
        <v>2.1800000000000002</v>
      </c>
      <c r="AI573" s="29">
        <f>HYPERLINK("[N&amp;P with New retention and Differentiation.xlsx]'Lake P Results'!AA119", 2.18)</f>
        <v>2.1800000000000002</v>
      </c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29">
        <f>HYPERLINK("[N&amp;P Old retention.xlsx]'Lake P Results'!M119", 4.58)</f>
        <v>4.58</v>
      </c>
      <c r="AW573" s="29">
        <f>HYPERLINK("[N&amp;P New retention.xlsx]'Lake P Results'!M119", 4.58)</f>
        <v>4.58</v>
      </c>
      <c r="AX573" s="29">
        <f>HYPERLINK("[N&amp;P with New retention and Differentiation.xlsx]'Lake P Results'!M119", 4.58)</f>
        <v>4.58</v>
      </c>
      <c r="AY573" s="13"/>
      <c r="AZ573" s="13"/>
      <c r="BA573" s="29">
        <f>HYPERLINK("[N&amp;P Old retention.xlsx]'Lake P Results'!O119", 15.15)</f>
        <v>15.15</v>
      </c>
      <c r="BB573" s="29">
        <f>HYPERLINK("[N&amp;P New retention.xlsx]'Lake P Results'!O119", 15.15)</f>
        <v>15.15</v>
      </c>
      <c r="BC573" s="29">
        <f>HYPERLINK("[N&amp;P with New retention and Differentiation.xlsx]'Lake P Results'!O119", 15.15)</f>
        <v>15.15</v>
      </c>
      <c r="BD573" s="13"/>
      <c r="BE573" s="13"/>
      <c r="BF573" s="13"/>
      <c r="BG573" s="29">
        <f>HYPERLINK("[N&amp;P New retention.xlsx]'Lake P Results'!R119", 16.07)</f>
        <v>16.07</v>
      </c>
      <c r="BH573" s="29">
        <f>HYPERLINK("[N&amp;P with New retention and Differentiation.xlsx]'Lake P Results'!R119", 13.62)</f>
        <v>13.62</v>
      </c>
      <c r="BI573" s="46">
        <f>BG573-BF573</f>
        <v>16.07</v>
      </c>
      <c r="BJ573" s="46">
        <f>BH573-BF573</f>
        <v>13.62</v>
      </c>
      <c r="BK573" s="29">
        <f>HYPERLINK("[N&amp;P Old retention.xlsx]'Lake P Results'!Q119", 0.73)</f>
        <v>0.73</v>
      </c>
      <c r="BL573" s="29">
        <f>HYPERLINK("[N&amp;P New retention.xlsx]'Lake P Results'!Q119", 0.73)</f>
        <v>0.73</v>
      </c>
      <c r="BM573" s="29">
        <f>HYPERLINK("[N&amp;P with New retention and Differentiation.xlsx]'Lake P Results'!Q119", 0.73)</f>
        <v>0.73</v>
      </c>
      <c r="BN573" s="13"/>
      <c r="BO573" s="13"/>
    </row>
    <row r="574" spans="1:67" x14ac:dyDescent="0.55000000000000004">
      <c r="A574" s="30">
        <v>348</v>
      </c>
      <c r="B574" s="6" t="s">
        <v>433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</row>
    <row r="575" spans="1:67" x14ac:dyDescent="0.55000000000000004">
      <c r="A575" s="31">
        <v>351</v>
      </c>
      <c r="B575" s="5" t="s">
        <v>434</v>
      </c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29">
        <f>HYPERLINK("[N&amp;P Old retention.xlsx]'Lake P Results'!M121", 142.148)</f>
        <v>142.148</v>
      </c>
      <c r="AW575" s="29">
        <f>HYPERLINK("[N&amp;P New retention.xlsx]'Lake P Results'!M121", 30.428)</f>
        <v>30.428000000000001</v>
      </c>
      <c r="AX575" s="29">
        <f>HYPERLINK("[N&amp;P with New retention and Differentiation.xlsx]'Lake P Results'!M121", 30.428)</f>
        <v>30.428000000000001</v>
      </c>
      <c r="AY575" s="47">
        <f>AW575-AV575</f>
        <v>-111.72</v>
      </c>
      <c r="AZ575" s="47">
        <f>AX575-AV575</f>
        <v>-111.72</v>
      </c>
      <c r="BA575" s="29">
        <f>HYPERLINK("[N&amp;P Old retention.xlsx]'Lake P Results'!O121", 20.65)</f>
        <v>20.65</v>
      </c>
      <c r="BB575" s="13"/>
      <c r="BC575" s="13"/>
      <c r="BD575" s="47">
        <f>BB575-BA575</f>
        <v>-20.65</v>
      </c>
      <c r="BE575" s="47">
        <f>BC575-BA575</f>
        <v>-20.65</v>
      </c>
      <c r="BF575" s="29">
        <f>HYPERLINK("[N&amp;P Old retention.xlsx]'Lake P Results'!R121", 2.362)</f>
        <v>2.3620000000000001</v>
      </c>
      <c r="BG575" s="29">
        <f>HYPERLINK("[N&amp;P New retention.xlsx]'Lake P Results'!R121", 2.362)</f>
        <v>2.3620000000000001</v>
      </c>
      <c r="BH575" s="29">
        <f>HYPERLINK("[N&amp;P with New retention and Differentiation.xlsx]'Lake P Results'!R121", 2.362)</f>
        <v>2.3620000000000001</v>
      </c>
      <c r="BI575" s="13"/>
      <c r="BJ575" s="13"/>
      <c r="BK575" s="29">
        <f>HYPERLINK("[N&amp;P Old retention.xlsx]'Lake P Results'!Q121", 0.32)</f>
        <v>0.32</v>
      </c>
      <c r="BL575" s="29">
        <f>HYPERLINK("[N&amp;P New retention.xlsx]'Lake P Results'!Q121", 0.54)</f>
        <v>0.54</v>
      </c>
      <c r="BM575" s="29">
        <f>HYPERLINK("[N&amp;P with New retention and Differentiation.xlsx]'Lake P Results'!Q121", 0.54)</f>
        <v>0.54</v>
      </c>
      <c r="BN575" s="46">
        <f>BL575-BK575</f>
        <v>0.22000000000000003</v>
      </c>
      <c r="BO575" s="46">
        <f>BM575-BK575</f>
        <v>0.22000000000000003</v>
      </c>
    </row>
    <row r="576" spans="1:67" x14ac:dyDescent="0.55000000000000004">
      <c r="A576" s="30">
        <v>354</v>
      </c>
      <c r="B576" s="6" t="s">
        <v>435</v>
      </c>
      <c r="C576" s="18"/>
      <c r="D576" s="18"/>
      <c r="E576" s="18"/>
      <c r="F576" s="18"/>
      <c r="G576" s="18"/>
      <c r="H576" s="26">
        <f>HYPERLINK("[N&amp;P Old retention.xlsx]'Lake P Results'!AM122", 700)</f>
        <v>700</v>
      </c>
      <c r="I576" s="26">
        <f>HYPERLINK("[N&amp;P New retention.xlsx]'Lake P Results'!AM122", 700)</f>
        <v>700</v>
      </c>
      <c r="J576" s="26">
        <f>HYPERLINK("[N&amp;P with New retention and Differentiation.xlsx]'Lake P Results'!AM122", 700)</f>
        <v>700</v>
      </c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27">
        <f>HYPERLINK("[N&amp;P Old retention.xlsx]'Lake P Results'!M122", 23.43)</f>
        <v>23.43</v>
      </c>
      <c r="AW576" s="27">
        <f>HYPERLINK("[N&amp;P New retention.xlsx]'Lake P Results'!M122", 31.08)</f>
        <v>31.08</v>
      </c>
      <c r="AX576" s="27">
        <f>HYPERLINK("[N&amp;P with New retention and Differentiation.xlsx]'Lake P Results'!M122", 31.08)</f>
        <v>31.08</v>
      </c>
      <c r="AY576" s="46">
        <f>AW576-AV576</f>
        <v>7.6499999999999986</v>
      </c>
      <c r="AZ576" s="46">
        <f>AX576-AV576</f>
        <v>7.6499999999999986</v>
      </c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27">
        <f>HYPERLINK("[N&amp;P Old retention.xlsx]'Lake P Results'!Q122", 10.498)</f>
        <v>10.497999999999999</v>
      </c>
      <c r="BL576" s="27">
        <f>HYPERLINK("[N&amp;P New retention.xlsx]'Lake P Results'!Q122", 12.448)</f>
        <v>12.448</v>
      </c>
      <c r="BM576" s="27">
        <f>HYPERLINK("[N&amp;P with New retention and Differentiation.xlsx]'Lake P Results'!Q122", 12.448)</f>
        <v>12.448</v>
      </c>
      <c r="BN576" s="46">
        <f>BL576-BK576</f>
        <v>1.9500000000000011</v>
      </c>
      <c r="BO576" s="46">
        <f>BM576-BK576</f>
        <v>1.9500000000000011</v>
      </c>
    </row>
    <row r="577" spans="1:67" x14ac:dyDescent="0.55000000000000004">
      <c r="A577" s="31">
        <v>357</v>
      </c>
      <c r="B577" s="5" t="s">
        <v>436</v>
      </c>
      <c r="C577" s="13"/>
      <c r="D577" s="13"/>
      <c r="E577" s="13"/>
      <c r="F577" s="13"/>
      <c r="G577" s="13"/>
      <c r="H577" s="28">
        <f>HYPERLINK("[N&amp;P Old retention.xlsx]'Lake P Results'!AM123", 300)</f>
        <v>300</v>
      </c>
      <c r="I577" s="28">
        <f>HYPERLINK("[N&amp;P New retention.xlsx]'Lake P Results'!AM123", 300)</f>
        <v>300</v>
      </c>
      <c r="J577" s="28">
        <f>HYPERLINK("[N&amp;P with New retention and Differentiation.xlsx]'Lake P Results'!AM123", 300)</f>
        <v>300</v>
      </c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29">
        <f>HYPERLINK("[N&amp;P Old retention.xlsx]'Lake P Results'!O123", 28.34)</f>
        <v>28.34</v>
      </c>
      <c r="BB577" s="29">
        <f>HYPERLINK("[N&amp;P New retention.xlsx]'Lake P Results'!O123", 17.61)</f>
        <v>17.61</v>
      </c>
      <c r="BC577" s="29">
        <f>HYPERLINK("[N&amp;P with New retention and Differentiation.xlsx]'Lake P Results'!O123", 17.61)</f>
        <v>17.61</v>
      </c>
      <c r="BD577" s="47">
        <f>BB577-BA577</f>
        <v>-10.73</v>
      </c>
      <c r="BE577" s="47">
        <f>BC577-BA577</f>
        <v>-10.73</v>
      </c>
      <c r="BF577" s="29">
        <f>HYPERLINK("[N&amp;P Old retention.xlsx]'Lake P Results'!R123", 4.698)</f>
        <v>4.6980000000000004</v>
      </c>
      <c r="BG577" s="29">
        <f>HYPERLINK("[N&amp;P New retention.xlsx]'Lake P Results'!R123", 4.698)</f>
        <v>4.6980000000000004</v>
      </c>
      <c r="BH577" s="29">
        <f>HYPERLINK("[N&amp;P with New retention and Differentiation.xlsx]'Lake P Results'!R123", 4.698)</f>
        <v>4.6980000000000004</v>
      </c>
      <c r="BI577" s="13"/>
      <c r="BJ577" s="13"/>
      <c r="BK577" s="29">
        <f>HYPERLINK("[N&amp;P Old retention.xlsx]'Lake P Results'!Q123", 1.832)</f>
        <v>1.8320000000000001</v>
      </c>
      <c r="BL577" s="29">
        <f>HYPERLINK("[N&amp;P New retention.xlsx]'Lake P Results'!Q123", 1.58)</f>
        <v>1.58</v>
      </c>
      <c r="BM577" s="29">
        <f>HYPERLINK("[N&amp;P with New retention and Differentiation.xlsx]'Lake P Results'!Q123", 1.58)</f>
        <v>1.58</v>
      </c>
      <c r="BN577" s="47">
        <f>BL577-BK577</f>
        <v>-0.252</v>
      </c>
      <c r="BO577" s="47">
        <f>BM577-BK577</f>
        <v>-0.252</v>
      </c>
    </row>
    <row r="578" spans="1:67" x14ac:dyDescent="0.55000000000000004">
      <c r="A578" s="30">
        <v>366</v>
      </c>
      <c r="B578" s="6" t="s">
        <v>437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</row>
    <row r="579" spans="1:67" x14ac:dyDescent="0.55000000000000004">
      <c r="A579" s="31">
        <v>370</v>
      </c>
      <c r="B579" s="5" t="s">
        <v>438</v>
      </c>
      <c r="C579" s="29">
        <f>HYPERLINK("[N&amp;P Old retention.xlsx]'Lake P Results'!AE125", 3.312)</f>
        <v>3.3119999999999998</v>
      </c>
      <c r="D579" s="29">
        <f>HYPERLINK("[N&amp;P New retention.xlsx]'Lake P Results'!AE125", 3.312)</f>
        <v>3.3119999999999998</v>
      </c>
      <c r="E579" s="29">
        <f>HYPERLINK("[N&amp;P with New retention and Differentiation.xlsx]'Lake P Results'!AE125", 3.312)</f>
        <v>3.3119999999999998</v>
      </c>
      <c r="F579" s="13"/>
      <c r="G579" s="13"/>
      <c r="H579" s="28">
        <f>HYPERLINK("[N&amp;P Old retention.xlsx]'Lake P Results'!AM125", 30200)</f>
        <v>30200</v>
      </c>
      <c r="I579" s="28">
        <f>HYPERLINK("[N&amp;P New retention.xlsx]'Lake P Results'!AM125", 30200)</f>
        <v>30200</v>
      </c>
      <c r="J579" s="28">
        <f>HYPERLINK("[N&amp;P with New retention and Differentiation.xlsx]'Lake P Results'!AM125", 30200)</f>
        <v>30200</v>
      </c>
      <c r="K579" s="13"/>
      <c r="L579" s="13"/>
      <c r="M579" s="29">
        <f>HYPERLINK("[N&amp;P Old retention.xlsx]'Lake P Results'!AC125", 17.59)</f>
        <v>17.59</v>
      </c>
      <c r="N579" s="29">
        <f>HYPERLINK("[N&amp;P New retention.xlsx]'Lake P Results'!AC125", 41.92)</f>
        <v>41.92</v>
      </c>
      <c r="O579" s="29">
        <f>HYPERLINK("[N&amp;P with New retention and Differentiation.xlsx]'Lake P Results'!AC125", 17.982)</f>
        <v>17.981999999999999</v>
      </c>
      <c r="P579" s="46">
        <f>N579-M579</f>
        <v>24.330000000000002</v>
      </c>
      <c r="Q579" s="46">
        <f>O579-M579</f>
        <v>0.39199999999999946</v>
      </c>
      <c r="R579" s="29">
        <f>HYPERLINK("[N&amp;P Old retention.xlsx]'Lake P Results'!Y125", 10.482)</f>
        <v>10.481999999999999</v>
      </c>
      <c r="S579" s="29">
        <f>HYPERLINK("[N&amp;P New retention.xlsx]'Lake P Results'!Y125", 0.41)</f>
        <v>0.41</v>
      </c>
      <c r="T579" s="29">
        <f>HYPERLINK("[N&amp;P with New retention and Differentiation.xlsx]'Lake P Results'!Y125", 27.92)</f>
        <v>27.92</v>
      </c>
      <c r="U579" s="47">
        <f>S579-R579</f>
        <v>-10.071999999999999</v>
      </c>
      <c r="V579" s="46">
        <f>T579-R579</f>
        <v>17.438000000000002</v>
      </c>
      <c r="W579" s="29">
        <f>HYPERLINK("[N&amp;P Old retention.xlsx]'Lake P Results'!V125", 41.6)</f>
        <v>41.6</v>
      </c>
      <c r="X579" s="29">
        <f>HYPERLINK("[N&amp;P New retention.xlsx]'Lake P Results'!V125", 41.6)</f>
        <v>41.6</v>
      </c>
      <c r="Y579" s="29">
        <f>HYPERLINK("[N&amp;P with New retention and Differentiation.xlsx]'Lake P Results'!V125", 41.6)</f>
        <v>41.6</v>
      </c>
      <c r="Z579" s="13"/>
      <c r="AA579" s="13"/>
      <c r="AB579" s="29">
        <f>HYPERLINK("[N&amp;P Old retention.xlsx]'Lake P Results'!Z125", 33.22)</f>
        <v>33.22</v>
      </c>
      <c r="AC579" s="29">
        <f>HYPERLINK("[N&amp;P New retention.xlsx]'Lake P Results'!Z125", 18.962)</f>
        <v>18.962</v>
      </c>
      <c r="AD579" s="29">
        <f>HYPERLINK("[N&amp;P with New retention and Differentiation.xlsx]'Lake P Results'!Z125", 15.39)</f>
        <v>15.39</v>
      </c>
      <c r="AE579" s="47">
        <f>AC579-AB579</f>
        <v>-14.257999999999999</v>
      </c>
      <c r="AF579" s="47">
        <f>AD579-AB579</f>
        <v>-17.829999999999998</v>
      </c>
      <c r="AG579" s="29">
        <f>HYPERLINK("[N&amp;P Old retention.xlsx]'Lake P Results'!AA125", 15.16)</f>
        <v>15.16</v>
      </c>
      <c r="AH579" s="29">
        <f>HYPERLINK("[N&amp;P New retention.xlsx]'Lake P Results'!AA125", 15.16)</f>
        <v>15.16</v>
      </c>
      <c r="AI579" s="29">
        <f>HYPERLINK("[N&amp;P with New retention and Differentiation.xlsx]'Lake P Results'!AA125", 15.16)</f>
        <v>15.16</v>
      </c>
      <c r="AJ579" s="13"/>
      <c r="AK579" s="13"/>
      <c r="AL579" s="13"/>
      <c r="AM579" s="13"/>
      <c r="AN579" s="13"/>
      <c r="AO579" s="13"/>
      <c r="AP579" s="13"/>
      <c r="AQ579" s="28">
        <f>HYPERLINK("[N&amp;P Old retention.xlsx]'Lake P Results'!AH125", 110)</f>
        <v>110</v>
      </c>
      <c r="AR579" s="28">
        <f>HYPERLINK("[N&amp;P New retention.xlsx]'Lake P Results'!AH125", 110)</f>
        <v>110</v>
      </c>
      <c r="AS579" s="28">
        <f>HYPERLINK("[N&amp;P with New retention and Differentiation.xlsx]'Lake P Results'!AH125", 110)</f>
        <v>110</v>
      </c>
      <c r="AT579" s="13"/>
      <c r="AU579" s="13"/>
      <c r="AV579" s="29">
        <f>HYPERLINK("[N&amp;P Old retention.xlsx]'Lake P Results'!M125", 642.07)</f>
        <v>642.07000000000005</v>
      </c>
      <c r="AW579" s="29">
        <f>HYPERLINK("[N&amp;P New retention.xlsx]'Lake P Results'!M125", 655.728)</f>
        <v>655.72799999999995</v>
      </c>
      <c r="AX579" s="29">
        <f>HYPERLINK("[N&amp;P with New retention and Differentiation.xlsx]'Lake P Results'!M125", 655.728)</f>
        <v>655.72799999999995</v>
      </c>
      <c r="AY579" s="46">
        <f>AW579-AV579</f>
        <v>13.657999999999902</v>
      </c>
      <c r="AZ579" s="46">
        <f>AX579-AV579</f>
        <v>13.657999999999902</v>
      </c>
      <c r="BA579" s="29">
        <f>HYPERLINK("[N&amp;P Old retention.xlsx]'Lake P Results'!O125", 34.556)</f>
        <v>34.555999999999997</v>
      </c>
      <c r="BB579" s="29">
        <f>HYPERLINK("[N&amp;P New retention.xlsx]'Lake P Results'!O125", 34.556)</f>
        <v>34.555999999999997</v>
      </c>
      <c r="BC579" s="29">
        <f>HYPERLINK("[N&amp;P with New retention and Differentiation.xlsx]'Lake P Results'!O125", 34.556)</f>
        <v>34.555999999999997</v>
      </c>
      <c r="BD579" s="13"/>
      <c r="BE579" s="13"/>
      <c r="BF579" s="13"/>
      <c r="BG579" s="13"/>
      <c r="BH579" s="13"/>
      <c r="BI579" s="13"/>
      <c r="BJ579" s="13"/>
      <c r="BK579" s="29">
        <f>HYPERLINK("[N&amp;P Old retention.xlsx]'Lake P Results'!Q125", 0.55)</f>
        <v>0.55000000000000004</v>
      </c>
      <c r="BL579" s="29">
        <f>HYPERLINK("[N&amp;P New retention.xlsx]'Lake P Results'!Q125", 0.55)</f>
        <v>0.55000000000000004</v>
      </c>
      <c r="BM579" s="29">
        <f>HYPERLINK("[N&amp;P with New retention and Differentiation.xlsx]'Lake P Results'!Q125", 0.55)</f>
        <v>0.55000000000000004</v>
      </c>
      <c r="BN579" s="13"/>
      <c r="BO579" s="13"/>
    </row>
    <row r="580" spans="1:67" x14ac:dyDescent="0.55000000000000004">
      <c r="A580" s="30">
        <v>379</v>
      </c>
      <c r="B580" s="6" t="s">
        <v>439</v>
      </c>
      <c r="C580" s="18"/>
      <c r="D580" s="18"/>
      <c r="E580" s="18"/>
      <c r="F580" s="18"/>
      <c r="G580" s="18"/>
      <c r="H580" s="26">
        <f>HYPERLINK("[N&amp;P Old retention.xlsx]'Lake P Results'!AM126", 2200)</f>
        <v>2200</v>
      </c>
      <c r="I580" s="26">
        <f>HYPERLINK("[N&amp;P New retention.xlsx]'Lake P Results'!AM126", 2100)</f>
        <v>2100</v>
      </c>
      <c r="J580" s="26">
        <f>HYPERLINK("[N&amp;P with New retention and Differentiation.xlsx]'Lake P Results'!AM126", 2100)</f>
        <v>2100</v>
      </c>
      <c r="K580" s="21">
        <f>I580-H580</f>
        <v>-100</v>
      </c>
      <c r="L580" s="21">
        <f>J580-H580</f>
        <v>-100</v>
      </c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27">
        <f>HYPERLINK("[N&amp;P Old retention.xlsx]'Lake P Results'!Z126", 1.92)</f>
        <v>1.92</v>
      </c>
      <c r="AC580" s="18"/>
      <c r="AD580" s="18"/>
      <c r="AE580" s="47">
        <f>AC580-AB580</f>
        <v>-1.92</v>
      </c>
      <c r="AF580" s="47">
        <f>AD580-AB580</f>
        <v>-1.92</v>
      </c>
      <c r="AG580" s="27">
        <f>HYPERLINK("[N&amp;P Old retention.xlsx]'Lake P Results'!AA126", 0.086)</f>
        <v>8.5999999999999993E-2</v>
      </c>
      <c r="AH580" s="27">
        <f>HYPERLINK("[N&amp;P New retention.xlsx]'Lake P Results'!AA126", 0.086)</f>
        <v>8.5999999999999993E-2</v>
      </c>
      <c r="AI580" s="27">
        <f>HYPERLINK("[N&amp;P with New retention and Differentiation.xlsx]'Lake P Results'!AA126", 0.086)</f>
        <v>8.5999999999999993E-2</v>
      </c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27">
        <f>HYPERLINK("[N&amp;P Old retention.xlsx]'Lake P Results'!O126", 5.69)</f>
        <v>5.69</v>
      </c>
      <c r="BB580" s="27">
        <f>HYPERLINK("[N&amp;P New retention.xlsx]'Lake P Results'!O126", 1.38)</f>
        <v>1.38</v>
      </c>
      <c r="BC580" s="27">
        <f>HYPERLINK("[N&amp;P with New retention and Differentiation.xlsx]'Lake P Results'!O126", 1.38)</f>
        <v>1.38</v>
      </c>
      <c r="BD580" s="47">
        <f>BB580-BA580</f>
        <v>-4.3100000000000005</v>
      </c>
      <c r="BE580" s="47">
        <f>BC580-BA580</f>
        <v>-4.3100000000000005</v>
      </c>
      <c r="BF580" s="27">
        <f>HYPERLINK("[N&amp;P Old retention.xlsx]'Lake P Results'!R126", 1.664)</f>
        <v>1.6639999999999999</v>
      </c>
      <c r="BG580" s="27">
        <f>HYPERLINK("[N&amp;P New retention.xlsx]'Lake P Results'!R126", 0.354)</f>
        <v>0.35399999999999998</v>
      </c>
      <c r="BH580" s="27">
        <f>HYPERLINK("[N&amp;P with New retention and Differentiation.xlsx]'Lake P Results'!R126", 0.354)</f>
        <v>0.35399999999999998</v>
      </c>
      <c r="BI580" s="47">
        <f>BG580-BF580</f>
        <v>-1.31</v>
      </c>
      <c r="BJ580" s="47">
        <f>BH580-BF580</f>
        <v>-1.31</v>
      </c>
      <c r="BK580" s="27">
        <f>HYPERLINK("[N&amp;P Old retention.xlsx]'Lake P Results'!Q126", 2.01)</f>
        <v>2.0099999999999998</v>
      </c>
      <c r="BL580" s="27">
        <f>HYPERLINK("[N&amp;P New retention.xlsx]'Lake P Results'!Q126", 5.92)</f>
        <v>5.92</v>
      </c>
      <c r="BM580" s="27">
        <f>HYPERLINK("[N&amp;P with New retention and Differentiation.xlsx]'Lake P Results'!Q126", 5.92)</f>
        <v>5.92</v>
      </c>
      <c r="BN580" s="46">
        <f>BL580-BK580</f>
        <v>3.91</v>
      </c>
      <c r="BO580" s="46">
        <f>BM580-BK580</f>
        <v>3.91</v>
      </c>
    </row>
    <row r="581" spans="1:67" x14ac:dyDescent="0.55000000000000004">
      <c r="A581" s="31">
        <v>390</v>
      </c>
      <c r="B581" s="5" t="s">
        <v>440</v>
      </c>
      <c r="C581" s="29">
        <f>HYPERLINK("[N&amp;P Old retention.xlsx]'Lake P Results'!AE127", 39.664)</f>
        <v>39.664000000000001</v>
      </c>
      <c r="D581" s="29">
        <f>HYPERLINK("[N&amp;P New retention.xlsx]'Lake P Results'!AE127", 39.662)</f>
        <v>39.661999999999999</v>
      </c>
      <c r="E581" s="29">
        <f>HYPERLINK("[N&amp;P with New retention and Differentiation.xlsx]'Lake P Results'!AE127", 39.624)</f>
        <v>39.624000000000002</v>
      </c>
      <c r="F581" s="47">
        <f>D581-C581</f>
        <v>-2.0000000000024443E-3</v>
      </c>
      <c r="G581" s="47">
        <f>E581-C581</f>
        <v>-3.9999999999999147E-2</v>
      </c>
      <c r="H581" s="28">
        <f>HYPERLINK("[N&amp;P Old retention.xlsx]'Lake P Results'!AM127", 45100)</f>
        <v>45100</v>
      </c>
      <c r="I581" s="28">
        <f>HYPERLINK("[N&amp;P New retention.xlsx]'Lake P Results'!AM127", 45100)</f>
        <v>45100</v>
      </c>
      <c r="J581" s="28">
        <f>HYPERLINK("[N&amp;P with New retention and Differentiation.xlsx]'Lake P Results'!AM127", 45300)</f>
        <v>45300</v>
      </c>
      <c r="K581" s="13"/>
      <c r="L581" s="16">
        <f>J581-H581</f>
        <v>200</v>
      </c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29">
        <f>HYPERLINK("[N&amp;P Old retention.xlsx]'Lake P Results'!AA127", 1.63)</f>
        <v>1.63</v>
      </c>
      <c r="AH581" s="13"/>
      <c r="AI581" s="13"/>
      <c r="AJ581" s="47">
        <f>AH581-AG581</f>
        <v>-1.63</v>
      </c>
      <c r="AK581" s="47">
        <f>AI581-AG581</f>
        <v>-1.63</v>
      </c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29">
        <f>HYPERLINK("[N&amp;P Old retention.xlsx]'Lake P Results'!M127", 110.23)</f>
        <v>110.23</v>
      </c>
      <c r="AW581" s="29">
        <f>HYPERLINK("[N&amp;P New retention.xlsx]'Lake P Results'!M127", 188.57)</f>
        <v>188.57</v>
      </c>
      <c r="AX581" s="29">
        <f>HYPERLINK("[N&amp;P with New retention and Differentiation.xlsx]'Lake P Results'!M127", 188.57)</f>
        <v>188.57</v>
      </c>
      <c r="AY581" s="46">
        <f>AW581-AV581</f>
        <v>78.339999999999989</v>
      </c>
      <c r="AZ581" s="46">
        <f>AX581-AV581</f>
        <v>78.339999999999989</v>
      </c>
      <c r="BA581" s="29">
        <f>HYPERLINK("[N&amp;P Old retention.xlsx]'Lake P Results'!O127", 208.17)</f>
        <v>208.17</v>
      </c>
      <c r="BB581" s="29">
        <f>HYPERLINK("[N&amp;P New retention.xlsx]'Lake P Results'!O127", 104.23)</f>
        <v>104.23</v>
      </c>
      <c r="BC581" s="29">
        <f>HYPERLINK("[N&amp;P with New retention and Differentiation.xlsx]'Lake P Results'!O127", 102.47)</f>
        <v>102.47</v>
      </c>
      <c r="BD581" s="47">
        <f>BB581-BA581</f>
        <v>-103.93999999999998</v>
      </c>
      <c r="BE581" s="47">
        <f>BC581-BA581</f>
        <v>-105.69999999999999</v>
      </c>
      <c r="BF581" s="13"/>
      <c r="BG581" s="29">
        <f>HYPERLINK("[N&amp;P New retention.xlsx]'Lake P Results'!R127", 14.75)</f>
        <v>14.75</v>
      </c>
      <c r="BH581" s="29">
        <f>HYPERLINK("[N&amp;P with New retention and Differentiation.xlsx]'Lake P Results'!R127", 25.98)</f>
        <v>25.98</v>
      </c>
      <c r="BI581" s="46">
        <f>BG581-BF581</f>
        <v>14.75</v>
      </c>
      <c r="BJ581" s="46">
        <f>BH581-BF581</f>
        <v>25.98</v>
      </c>
      <c r="BK581" s="29">
        <f>HYPERLINK("[N&amp;P Old retention.xlsx]'Lake P Results'!Q127", 30.64)</f>
        <v>30.64</v>
      </c>
      <c r="BL581" s="29">
        <f>HYPERLINK("[N&amp;P New retention.xlsx]'Lake P Results'!Q127", 52.588)</f>
        <v>52.588000000000001</v>
      </c>
      <c r="BM581" s="29">
        <f>HYPERLINK("[N&amp;P with New retention and Differentiation.xlsx]'Lake P Results'!Q127", 52.588)</f>
        <v>52.588000000000001</v>
      </c>
      <c r="BN581" s="46">
        <f>BL581-BK581</f>
        <v>21.948</v>
      </c>
      <c r="BO581" s="46">
        <f>BM581-BK581</f>
        <v>21.948</v>
      </c>
    </row>
    <row r="582" spans="1:67" x14ac:dyDescent="0.55000000000000004">
      <c r="A582" s="30">
        <v>392</v>
      </c>
      <c r="B582" s="6" t="s">
        <v>441</v>
      </c>
      <c r="C582" s="27">
        <f>HYPERLINK("[N&amp;P Old retention.xlsx]'Lake P Results'!AE128", 1.124)</f>
        <v>1.1240000000000001</v>
      </c>
      <c r="D582" s="27">
        <f>HYPERLINK("[N&amp;P New retention.xlsx]'Lake P Results'!AE128", 1.124)</f>
        <v>1.1240000000000001</v>
      </c>
      <c r="E582" s="27">
        <f>HYPERLINK("[N&amp;P with New retention and Differentiation.xlsx]'Lake P Results'!AE128", 1.124)</f>
        <v>1.1240000000000001</v>
      </c>
      <c r="F582" s="18"/>
      <c r="G582" s="18"/>
      <c r="H582" s="26">
        <f>HYPERLINK("[N&amp;P Old retention.xlsx]'Lake P Results'!AM128", 8500)</f>
        <v>8500</v>
      </c>
      <c r="I582" s="26">
        <f>HYPERLINK("[N&amp;P New retention.xlsx]'Lake P Results'!AM128", 8500)</f>
        <v>8500</v>
      </c>
      <c r="J582" s="26">
        <f>HYPERLINK("[N&amp;P with New retention and Differentiation.xlsx]'Lake P Results'!AM128", 8500)</f>
        <v>8500</v>
      </c>
      <c r="K582" s="18"/>
      <c r="L582" s="18"/>
      <c r="M582" s="18"/>
      <c r="N582" s="18"/>
      <c r="O582" s="18"/>
      <c r="P582" s="18"/>
      <c r="Q582" s="18"/>
      <c r="R582" s="27">
        <f>HYPERLINK("[N&amp;P Old retention.xlsx]'Lake P Results'!Y128", 13.99)</f>
        <v>13.99</v>
      </c>
      <c r="S582" s="27">
        <f>HYPERLINK("[N&amp;P New retention.xlsx]'Lake P Results'!Y128", 13.99)</f>
        <v>13.99</v>
      </c>
      <c r="T582" s="27">
        <f>HYPERLINK("[N&amp;P with New retention and Differentiation.xlsx]'Lake P Results'!Y128", 13.99)</f>
        <v>13.99</v>
      </c>
      <c r="U582" s="18"/>
      <c r="V582" s="18"/>
      <c r="W582" s="27">
        <f>HYPERLINK("[N&amp;P Old retention.xlsx]'Lake P Results'!V128", 2.472)</f>
        <v>2.472</v>
      </c>
      <c r="X582" s="27">
        <f>HYPERLINK("[N&amp;P New retention.xlsx]'Lake P Results'!V128", 2.472)</f>
        <v>2.472</v>
      </c>
      <c r="Y582" s="27">
        <f>HYPERLINK("[N&amp;P with New retention and Differentiation.xlsx]'Lake P Results'!V128", 2.472)</f>
        <v>2.472</v>
      </c>
      <c r="Z582" s="18"/>
      <c r="AA582" s="18"/>
      <c r="AB582" s="27">
        <f>HYPERLINK("[N&amp;P Old retention.xlsx]'Lake P Results'!Z128", 10.44)</f>
        <v>10.44</v>
      </c>
      <c r="AC582" s="27">
        <f>HYPERLINK("[N&amp;P New retention.xlsx]'Lake P Results'!Z128", 10.44)</f>
        <v>10.44</v>
      </c>
      <c r="AD582" s="27">
        <f>HYPERLINK("[N&amp;P with New retention and Differentiation.xlsx]'Lake P Results'!Z128", 10.44)</f>
        <v>10.44</v>
      </c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26">
        <f>HYPERLINK("[N&amp;P Old retention.xlsx]'Lake P Results'!AH128", 509.999999999342)</f>
        <v>509.99999999934198</v>
      </c>
      <c r="AR582" s="26">
        <f>HYPERLINK("[N&amp;P New retention.xlsx]'Lake P Results'!AH128", 509.999999999342)</f>
        <v>509.99999999934198</v>
      </c>
      <c r="AS582" s="26">
        <f>HYPERLINK("[N&amp;P with New retention and Differentiation.xlsx]'Lake P Results'!AH128", 509.999999999342)</f>
        <v>509.99999999934198</v>
      </c>
      <c r="AT582" s="18"/>
      <c r="AU582" s="18"/>
      <c r="AV582" s="27">
        <f>HYPERLINK("[N&amp;P Old retention.xlsx]'Lake P Results'!M128", 236.12)</f>
        <v>236.12</v>
      </c>
      <c r="AW582" s="27">
        <f>HYPERLINK("[N&amp;P New retention.xlsx]'Lake P Results'!M128", 236.12)</f>
        <v>236.12</v>
      </c>
      <c r="AX582" s="27">
        <f>HYPERLINK("[N&amp;P with New retention and Differentiation.xlsx]'Lake P Results'!M128", 236.12)</f>
        <v>236.12</v>
      </c>
      <c r="AY582" s="18"/>
      <c r="AZ582" s="18"/>
      <c r="BA582" s="27">
        <f>HYPERLINK("[N&amp;P Old retention.xlsx]'Lake P Results'!O128", 411.984)</f>
        <v>411.98399999999998</v>
      </c>
      <c r="BB582" s="27">
        <f>HYPERLINK("[N&amp;P New retention.xlsx]'Lake P Results'!O128", 411.984)</f>
        <v>411.98399999999998</v>
      </c>
      <c r="BC582" s="27">
        <f>HYPERLINK("[N&amp;P with New retention and Differentiation.xlsx]'Lake P Results'!O128", 411.984)</f>
        <v>411.98399999999998</v>
      </c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</row>
    <row r="583" spans="1:67" x14ac:dyDescent="0.55000000000000004">
      <c r="A583" s="31">
        <v>394</v>
      </c>
      <c r="B583" s="5" t="s">
        <v>442</v>
      </c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</row>
    <row r="584" spans="1:67" x14ac:dyDescent="0.55000000000000004">
      <c r="A584" s="30">
        <v>395</v>
      </c>
      <c r="B584" s="6" t="s">
        <v>443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</row>
    <row r="585" spans="1:67" x14ac:dyDescent="0.55000000000000004">
      <c r="A585" s="31">
        <v>397</v>
      </c>
      <c r="B585" s="5" t="s">
        <v>444</v>
      </c>
      <c r="C585" s="29">
        <f>HYPERLINK("[N&amp;P Old retention.xlsx]'Lake P Results'!AE131", 0.21)</f>
        <v>0.21</v>
      </c>
      <c r="D585" s="29">
        <f>HYPERLINK("[N&amp;P New retention.xlsx]'Lake P Results'!AE131", 0.21)</f>
        <v>0.21</v>
      </c>
      <c r="E585" s="29">
        <f>HYPERLINK("[N&amp;P with New retention and Differentiation.xlsx]'Lake P Results'!AE131", 0.21)</f>
        <v>0.21</v>
      </c>
      <c r="F585" s="13"/>
      <c r="G585" s="13"/>
      <c r="H585" s="28">
        <f>HYPERLINK("[N&amp;P Old retention.xlsx]'Lake P Results'!AM131", 34700)</f>
        <v>34700</v>
      </c>
      <c r="I585" s="28">
        <f>HYPERLINK("[N&amp;P New retention.xlsx]'Lake P Results'!AM131", 34700)</f>
        <v>34700</v>
      </c>
      <c r="J585" s="28">
        <f>HYPERLINK("[N&amp;P with New retention and Differentiation.xlsx]'Lake P Results'!AM131", 34700)</f>
        <v>34700</v>
      </c>
      <c r="K585" s="13"/>
      <c r="L585" s="13"/>
      <c r="M585" s="29">
        <f>HYPERLINK("[N&amp;P Old retention.xlsx]'Lake P Results'!AC131", 1.5)</f>
        <v>1.5</v>
      </c>
      <c r="N585" s="29">
        <f>HYPERLINK("[N&amp;P New retention.xlsx]'Lake P Results'!AC131", 1.5)</f>
        <v>1.5</v>
      </c>
      <c r="O585" s="29">
        <f>HYPERLINK("[N&amp;P with New retention and Differentiation.xlsx]'Lake P Results'!AC131", 3.79)</f>
        <v>3.79</v>
      </c>
      <c r="P585" s="13"/>
      <c r="Q585" s="46">
        <f>O585-M585</f>
        <v>2.29</v>
      </c>
      <c r="R585" s="29">
        <f>HYPERLINK("[N&amp;P Old retention.xlsx]'Lake P Results'!Y131", 0.58)</f>
        <v>0.57999999999999996</v>
      </c>
      <c r="S585" s="29">
        <f>HYPERLINK("[N&amp;P New retention.xlsx]'Lake P Results'!Y131", 2.29)</f>
        <v>2.29</v>
      </c>
      <c r="T585" s="13"/>
      <c r="U585" s="46">
        <f>S585-R585</f>
        <v>1.71</v>
      </c>
      <c r="V585" s="47">
        <f>T585-R585</f>
        <v>-0.57999999999999996</v>
      </c>
      <c r="W585" s="13"/>
      <c r="X585" s="13"/>
      <c r="Y585" s="13"/>
      <c r="Z585" s="13"/>
      <c r="AA585" s="13"/>
      <c r="AB585" s="29">
        <f>HYPERLINK("[N&amp;P Old retention.xlsx]'Lake P Results'!Z131", 1.71)</f>
        <v>1.71</v>
      </c>
      <c r="AC585" s="13"/>
      <c r="AD585" s="13"/>
      <c r="AE585" s="47">
        <f>AC585-AB585</f>
        <v>-1.71</v>
      </c>
      <c r="AF585" s="47">
        <f>AD585-AB585</f>
        <v>-1.71</v>
      </c>
      <c r="AG585" s="29">
        <f>HYPERLINK("[N&amp;P Old retention.xlsx]'Lake P Results'!AA131", 0.856)</f>
        <v>0.85599999999999998</v>
      </c>
      <c r="AH585" s="29">
        <f>HYPERLINK("[N&amp;P New retention.xlsx]'Lake P Results'!AA131", 0.856)</f>
        <v>0.85599999999999998</v>
      </c>
      <c r="AI585" s="29">
        <f>HYPERLINK("[N&amp;P with New retention and Differentiation.xlsx]'Lake P Results'!AA131", 0.856)</f>
        <v>0.85599999999999998</v>
      </c>
      <c r="AJ585" s="13"/>
      <c r="AK585" s="13"/>
      <c r="AL585" s="13"/>
      <c r="AM585" s="13"/>
      <c r="AN585" s="13"/>
      <c r="AO585" s="13"/>
      <c r="AP585" s="13"/>
      <c r="AQ585" s="28">
        <f>HYPERLINK("[N&amp;P Old retention.xlsx]'Lake P Results'!AH131", 270)</f>
        <v>270</v>
      </c>
      <c r="AR585" s="28">
        <f>HYPERLINK("[N&amp;P New retention.xlsx]'Lake P Results'!AH131", 270)</f>
        <v>270</v>
      </c>
      <c r="AS585" s="28">
        <f>HYPERLINK("[N&amp;P with New retention and Differentiation.xlsx]'Lake P Results'!AH131", 270)</f>
        <v>270</v>
      </c>
      <c r="AT585" s="13"/>
      <c r="AU585" s="13"/>
      <c r="AV585" s="29">
        <f>HYPERLINK("[N&amp;P Old retention.xlsx]'Lake P Results'!M131", 972.242)</f>
        <v>972.24199999999996</v>
      </c>
      <c r="AW585" s="29">
        <f>HYPERLINK("[N&amp;P New retention.xlsx]'Lake P Results'!M131", 916.072)</f>
        <v>916.072</v>
      </c>
      <c r="AX585" s="29">
        <f>HYPERLINK("[N&amp;P with New retention and Differentiation.xlsx]'Lake P Results'!M131", 916.072)</f>
        <v>916.072</v>
      </c>
      <c r="AY585" s="47">
        <f>AW585-AV585</f>
        <v>-56.169999999999959</v>
      </c>
      <c r="AZ585" s="47">
        <f>AX585-AV585</f>
        <v>-56.169999999999959</v>
      </c>
      <c r="BA585" s="29">
        <f>HYPERLINK("[N&amp;P Old retention.xlsx]'Lake P Results'!O131", 193.344)</f>
        <v>193.34399999999999</v>
      </c>
      <c r="BB585" s="29">
        <f>HYPERLINK("[N&amp;P New retention.xlsx]'Lake P Results'!O131", 192.724)</f>
        <v>192.72399999999999</v>
      </c>
      <c r="BC585" s="29">
        <f>HYPERLINK("[N&amp;P with New retention and Differentiation.xlsx]'Lake P Results'!O131", 192.724)</f>
        <v>192.72399999999999</v>
      </c>
      <c r="BD585" s="47">
        <f>BB585-BA585</f>
        <v>-0.62000000000000455</v>
      </c>
      <c r="BE585" s="47">
        <f>BC585-BA585</f>
        <v>-0.62000000000000455</v>
      </c>
      <c r="BF585" s="29">
        <f>HYPERLINK("[N&amp;P Old retention.xlsx]'Lake P Results'!R131", 0.372)</f>
        <v>0.372</v>
      </c>
      <c r="BG585" s="29">
        <f>HYPERLINK("[N&amp;P New retention.xlsx]'Lake P Results'!R131", 0.372)</f>
        <v>0.372</v>
      </c>
      <c r="BH585" s="29">
        <f>HYPERLINK("[N&amp;P with New retention and Differentiation.xlsx]'Lake P Results'!R131", 0.372)</f>
        <v>0.372</v>
      </c>
      <c r="BI585" s="13"/>
      <c r="BJ585" s="13"/>
      <c r="BK585" s="13"/>
      <c r="BL585" s="13"/>
      <c r="BM585" s="13"/>
      <c r="BN585" s="13"/>
      <c r="BO585" s="13"/>
    </row>
    <row r="586" spans="1:67" x14ac:dyDescent="0.55000000000000004">
      <c r="A586" s="30">
        <v>399</v>
      </c>
      <c r="B586" s="6" t="s">
        <v>445</v>
      </c>
      <c r="C586" s="18"/>
      <c r="D586" s="18"/>
      <c r="E586" s="18"/>
      <c r="F586" s="18"/>
      <c r="G586" s="18"/>
      <c r="H586" s="26">
        <f>HYPERLINK("[N&amp;P Old retention.xlsx]'Lake P Results'!AM132", 2000)</f>
        <v>2000</v>
      </c>
      <c r="I586" s="26">
        <f>HYPERLINK("[N&amp;P New retention.xlsx]'Lake P Results'!AM132", 2000)</f>
        <v>2000</v>
      </c>
      <c r="J586" s="26">
        <f>HYPERLINK("[N&amp;P with New retention and Differentiation.xlsx]'Lake P Results'!AM132", 2200)</f>
        <v>2200</v>
      </c>
      <c r="K586" s="18"/>
      <c r="L586" s="16">
        <f>J586-H586</f>
        <v>200</v>
      </c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27">
        <f>HYPERLINK("[N&amp;P New retention.xlsx]'Lake P Results'!R132", 5.29)</f>
        <v>5.29</v>
      </c>
      <c r="BH586" s="27">
        <f>HYPERLINK("[N&amp;P with New retention and Differentiation.xlsx]'Lake P Results'!R132", 5.29)</f>
        <v>5.29</v>
      </c>
      <c r="BI586" s="46">
        <f>BG586-BF586</f>
        <v>5.29</v>
      </c>
      <c r="BJ586" s="46">
        <f>BH586-BF586</f>
        <v>5.29</v>
      </c>
      <c r="BK586" s="27">
        <f>HYPERLINK("[N&amp;P Old retention.xlsx]'Lake P Results'!Q132", 0.820000000000002)</f>
        <v>0.82000000000000195</v>
      </c>
      <c r="BL586" s="27">
        <f>HYPERLINK("[N&amp;P New retention.xlsx]'Lake P Results'!Q132", 1.57)</f>
        <v>1.57</v>
      </c>
      <c r="BM586" s="27">
        <f>HYPERLINK("[N&amp;P with New retention and Differentiation.xlsx]'Lake P Results'!Q132", 1.57)</f>
        <v>1.57</v>
      </c>
      <c r="BN586" s="46">
        <f>BL586-BK586</f>
        <v>0.74999999999999811</v>
      </c>
      <c r="BO586" s="46">
        <f>BM586-BK586</f>
        <v>0.74999999999999811</v>
      </c>
    </row>
    <row r="587" spans="1:67" x14ac:dyDescent="0.55000000000000004">
      <c r="A587" s="31">
        <v>404</v>
      </c>
      <c r="B587" s="5" t="s">
        <v>446</v>
      </c>
      <c r="C587" s="29">
        <f>HYPERLINK("[N&amp;P Old retention.xlsx]'Lake P Results'!AE133", 0.32)</f>
        <v>0.32</v>
      </c>
      <c r="D587" s="29">
        <f>HYPERLINK("[N&amp;P New retention.xlsx]'Lake P Results'!AE133", 0.32)</f>
        <v>0.32</v>
      </c>
      <c r="E587" s="29">
        <f>HYPERLINK("[N&amp;P with New retention and Differentiation.xlsx]'Lake P Results'!AE133", 0.32)</f>
        <v>0.32</v>
      </c>
      <c r="F587" s="13"/>
      <c r="G587" s="13"/>
      <c r="H587" s="28">
        <f>HYPERLINK("[N&amp;P Old retention.xlsx]'Lake P Results'!AM133", 4400)</f>
        <v>4400</v>
      </c>
      <c r="I587" s="28">
        <f>HYPERLINK("[N&amp;P New retention.xlsx]'Lake P Results'!AM133", 4400)</f>
        <v>4400</v>
      </c>
      <c r="J587" s="28">
        <f>HYPERLINK("[N&amp;P with New retention and Differentiation.xlsx]'Lake P Results'!AM133", 4400)</f>
        <v>4400</v>
      </c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29">
        <f>HYPERLINK("[N&amp;P Old retention.xlsx]'Lake P Results'!AA133", 1.98)</f>
        <v>1.98</v>
      </c>
      <c r="AH587" s="29">
        <f>HYPERLINK("[N&amp;P New retention.xlsx]'Lake P Results'!AA133", 1.98)</f>
        <v>1.98</v>
      </c>
      <c r="AI587" s="29">
        <f>HYPERLINK("[N&amp;P with New retention and Differentiation.xlsx]'Lake P Results'!AA133", 1.98)</f>
        <v>1.98</v>
      </c>
      <c r="AJ587" s="13"/>
      <c r="AK587" s="13"/>
      <c r="AL587" s="13"/>
      <c r="AM587" s="13"/>
      <c r="AN587" s="13"/>
      <c r="AO587" s="13"/>
      <c r="AP587" s="13"/>
      <c r="AQ587" s="28">
        <f>HYPERLINK("[N&amp;P Old retention.xlsx]'Lake P Results'!AH133", 50)</f>
        <v>50</v>
      </c>
      <c r="AR587" s="28">
        <f>HYPERLINK("[N&amp;P New retention.xlsx]'Lake P Results'!AH133", 50)</f>
        <v>50</v>
      </c>
      <c r="AS587" s="28">
        <f>HYPERLINK("[N&amp;P with New retention and Differentiation.xlsx]'Lake P Results'!AH133", 50)</f>
        <v>50</v>
      </c>
      <c r="AT587" s="13"/>
      <c r="AU587" s="13"/>
      <c r="AV587" s="29">
        <f>HYPERLINK("[N&amp;P Old retention.xlsx]'Lake P Results'!M133", 211.39)</f>
        <v>211.39</v>
      </c>
      <c r="AW587" s="29">
        <f>HYPERLINK("[N&amp;P New retention.xlsx]'Lake P Results'!M133", 211.39)</f>
        <v>211.39</v>
      </c>
      <c r="AX587" s="29">
        <f>HYPERLINK("[N&amp;P with New retention and Differentiation.xlsx]'Lake P Results'!M133", 211.39)</f>
        <v>211.39</v>
      </c>
      <c r="AY587" s="13"/>
      <c r="AZ587" s="13"/>
      <c r="BA587" s="29">
        <f>HYPERLINK("[N&amp;P Old retention.xlsx]'Lake P Results'!O133", 29.804)</f>
        <v>29.803999999999998</v>
      </c>
      <c r="BB587" s="29">
        <f>HYPERLINK("[N&amp;P New retention.xlsx]'Lake P Results'!O133", 29.804)</f>
        <v>29.803999999999998</v>
      </c>
      <c r="BC587" s="29">
        <f>HYPERLINK("[N&amp;P with New retention and Differentiation.xlsx]'Lake P Results'!O133", 29.804)</f>
        <v>29.803999999999998</v>
      </c>
      <c r="BD587" s="13"/>
      <c r="BE587" s="13"/>
      <c r="BF587" s="29">
        <f>HYPERLINK("[N&amp;P Old retention.xlsx]'Lake P Results'!R133", 0.45)</f>
        <v>0.45</v>
      </c>
      <c r="BG587" s="29">
        <f>HYPERLINK("[N&amp;P New retention.xlsx]'Lake P Results'!R133", 0.45)</f>
        <v>0.45</v>
      </c>
      <c r="BH587" s="29">
        <f>HYPERLINK("[N&amp;P with New retention and Differentiation.xlsx]'Lake P Results'!R133", 0.45)</f>
        <v>0.45</v>
      </c>
      <c r="BI587" s="13"/>
      <c r="BJ587" s="13"/>
      <c r="BK587" s="13"/>
      <c r="BL587" s="13"/>
      <c r="BM587" s="13"/>
      <c r="BN587" s="13"/>
      <c r="BO587" s="13"/>
    </row>
    <row r="588" spans="1:67" x14ac:dyDescent="0.55000000000000004">
      <c r="A588" s="30">
        <v>406</v>
      </c>
      <c r="B588" s="6" t="s">
        <v>447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27">
        <f>HYPERLINK("[N&amp;P Old retention.xlsx]'Lake P Results'!M134", 937.014)</f>
        <v>937.01400000000001</v>
      </c>
      <c r="AW588" s="27">
        <f>HYPERLINK("[N&amp;P New retention.xlsx]'Lake P Results'!M134", 123.892)</f>
        <v>123.892</v>
      </c>
      <c r="AX588" s="27">
        <f>HYPERLINK("[N&amp;P with New retention and Differentiation.xlsx]'Lake P Results'!M134", 123.892)</f>
        <v>123.892</v>
      </c>
      <c r="AY588" s="47">
        <f>AW588-AV588</f>
        <v>-813.12200000000007</v>
      </c>
      <c r="AZ588" s="47">
        <f>AX588-AV588</f>
        <v>-813.12200000000007</v>
      </c>
      <c r="BA588" s="27">
        <f>HYPERLINK("[N&amp;P Old retention.xlsx]'Lake P Results'!O134", 71.5)</f>
        <v>71.5</v>
      </c>
      <c r="BB588" s="18"/>
      <c r="BC588" s="18"/>
      <c r="BD588" s="47">
        <f>BB588-BA588</f>
        <v>-71.5</v>
      </c>
      <c r="BE588" s="47">
        <f>BC588-BA588</f>
        <v>-71.5</v>
      </c>
      <c r="BF588" s="27">
        <f>HYPERLINK("[N&amp;P Old retention.xlsx]'Lake P Results'!R134", 5.644)</f>
        <v>5.6440000000000001</v>
      </c>
      <c r="BG588" s="18"/>
      <c r="BH588" s="18"/>
      <c r="BI588" s="47">
        <f>BG588-BF588</f>
        <v>-5.6440000000000001</v>
      </c>
      <c r="BJ588" s="47">
        <f>BH588-BF588</f>
        <v>-5.6440000000000001</v>
      </c>
      <c r="BK588" s="27">
        <f>HYPERLINK("[N&amp;P Old retention.xlsx]'Lake P Results'!Q134", 6.856)</f>
        <v>6.8559999999999999</v>
      </c>
      <c r="BL588" s="27">
        <f>HYPERLINK("[N&amp;P New retention.xlsx]'Lake P Results'!Q134", 3.38)</f>
        <v>3.38</v>
      </c>
      <c r="BM588" s="27">
        <f>HYPERLINK("[N&amp;P with New retention and Differentiation.xlsx]'Lake P Results'!Q134", 3.14)</f>
        <v>3.14</v>
      </c>
      <c r="BN588" s="47">
        <f>BL588-BK588</f>
        <v>-3.476</v>
      </c>
      <c r="BO588" s="47">
        <f>BM588-BK588</f>
        <v>-3.7159999999999997</v>
      </c>
    </row>
    <row r="589" spans="1:67" x14ac:dyDescent="0.55000000000000004">
      <c r="A589" s="31">
        <v>409</v>
      </c>
      <c r="B589" s="5" t="s">
        <v>448</v>
      </c>
      <c r="C589" s="13"/>
      <c r="D589" s="13"/>
      <c r="E589" s="13"/>
      <c r="F589" s="13"/>
      <c r="G589" s="13"/>
      <c r="H589" s="28">
        <f>HYPERLINK("[N&amp;P Old retention.xlsx]'Lake P Results'!AM135", 32100)</f>
        <v>32100</v>
      </c>
      <c r="I589" s="28">
        <f>HYPERLINK("[N&amp;P New retention.xlsx]'Lake P Results'!AM135", 30600)</f>
        <v>30600</v>
      </c>
      <c r="J589" s="28">
        <f>HYPERLINK("[N&amp;P with New retention and Differentiation.xlsx]'Lake P Results'!AM135", 30100)</f>
        <v>30100</v>
      </c>
      <c r="K589" s="21">
        <f>I589-H589</f>
        <v>-1500</v>
      </c>
      <c r="L589" s="21">
        <f>J589-H589</f>
        <v>-2000</v>
      </c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29">
        <f>HYPERLINK("[N&amp;P Old retention.xlsx]'Lake P Results'!M135", 3.348)</f>
        <v>3.3479999999999999</v>
      </c>
      <c r="AW589" s="29">
        <f>HYPERLINK("[N&amp;P New retention.xlsx]'Lake P Results'!M135", 1.998)</f>
        <v>1.998</v>
      </c>
      <c r="AX589" s="29">
        <f>HYPERLINK("[N&amp;P with New retention and Differentiation.xlsx]'Lake P Results'!M135", 1.998)</f>
        <v>1.998</v>
      </c>
      <c r="AY589" s="47">
        <f>AW589-AV589</f>
        <v>-1.3499999999999999</v>
      </c>
      <c r="AZ589" s="47">
        <f>AX589-AV589</f>
        <v>-1.3499999999999999</v>
      </c>
      <c r="BA589" s="13"/>
      <c r="BB589" s="13"/>
      <c r="BC589" s="13"/>
      <c r="BD589" s="13"/>
      <c r="BE589" s="13"/>
      <c r="BF589" s="29">
        <f>HYPERLINK("[N&amp;P Old retention.xlsx]'Lake P Results'!R135", 134.946)</f>
        <v>134.946</v>
      </c>
      <c r="BG589" s="29">
        <f>HYPERLINK("[N&amp;P New retention.xlsx]'Lake P Results'!R135", 29.01)</f>
        <v>29.01</v>
      </c>
      <c r="BH589" s="29">
        <f>HYPERLINK("[N&amp;P with New retention and Differentiation.xlsx]'Lake P Results'!R135", 29.01)</f>
        <v>29.01</v>
      </c>
      <c r="BI589" s="47">
        <f>BG589-BF589</f>
        <v>-105.93599999999999</v>
      </c>
      <c r="BJ589" s="47">
        <f>BH589-BF589</f>
        <v>-105.93599999999999</v>
      </c>
      <c r="BK589" s="29">
        <f>HYPERLINK("[N&amp;P Old retention.xlsx]'Lake P Results'!Q135", 17.002)</f>
        <v>17.001999999999999</v>
      </c>
      <c r="BL589" s="29">
        <f>HYPERLINK("[N&amp;P New retention.xlsx]'Lake P Results'!Q135", 32.692)</f>
        <v>32.692</v>
      </c>
      <c r="BM589" s="29">
        <f>HYPERLINK("[N&amp;P with New retention and Differentiation.xlsx]'Lake P Results'!Q135", 32.692)</f>
        <v>32.692</v>
      </c>
      <c r="BN589" s="46">
        <f>BL589-BK589</f>
        <v>15.690000000000001</v>
      </c>
      <c r="BO589" s="46">
        <f>BM589-BK589</f>
        <v>15.690000000000001</v>
      </c>
    </row>
    <row r="590" spans="1:67" x14ac:dyDescent="0.55000000000000004">
      <c r="A590" s="30">
        <v>411</v>
      </c>
      <c r="B590" s="6" t="s">
        <v>449</v>
      </c>
      <c r="C590" s="18"/>
      <c r="D590" s="18"/>
      <c r="E590" s="18"/>
      <c r="F590" s="18"/>
      <c r="G590" s="18"/>
      <c r="H590" s="26">
        <f>HYPERLINK("[N&amp;P Old retention.xlsx]'Lake P Results'!AM136", 1000)</f>
        <v>1000</v>
      </c>
      <c r="I590" s="26">
        <f>HYPERLINK("[N&amp;P New retention.xlsx]'Lake P Results'!AM136", 1000)</f>
        <v>1000</v>
      </c>
      <c r="J590" s="26">
        <f>HYPERLINK("[N&amp;P with New retention and Differentiation.xlsx]'Lake P Results'!AM136", 1000)</f>
        <v>1000</v>
      </c>
      <c r="K590" s="18"/>
      <c r="L590" s="18"/>
      <c r="M590" s="27">
        <f>HYPERLINK("[N&amp;P Old retention.xlsx]'Lake P Results'!AC136", 14.23)</f>
        <v>14.23</v>
      </c>
      <c r="N590" s="27">
        <f>HYPERLINK("[N&amp;P New retention.xlsx]'Lake P Results'!AC136", 10.28)</f>
        <v>10.28</v>
      </c>
      <c r="O590" s="27">
        <f>HYPERLINK("[N&amp;P with New retention and Differentiation.xlsx]'Lake P Results'!AC136", 5.35)</f>
        <v>5.35</v>
      </c>
      <c r="P590" s="47">
        <f>N590-M590</f>
        <v>-3.9500000000000011</v>
      </c>
      <c r="Q590" s="47">
        <f>O590-M590</f>
        <v>-8.8800000000000008</v>
      </c>
      <c r="R590" s="27">
        <f>HYPERLINK("[N&amp;P Old retention.xlsx]'Lake P Results'!Y136", 8.52)</f>
        <v>8.52</v>
      </c>
      <c r="S590" s="18"/>
      <c r="T590" s="27">
        <f>HYPERLINK("[N&amp;P with New retention and Differentiation.xlsx]'Lake P Results'!Y136", 17.4)</f>
        <v>17.399999999999999</v>
      </c>
      <c r="U590" s="47">
        <f>S590-R590</f>
        <v>-8.52</v>
      </c>
      <c r="V590" s="46">
        <f>T590-R590</f>
        <v>8.879999999999999</v>
      </c>
      <c r="W590" s="27">
        <f>HYPERLINK("[N&amp;P Old retention.xlsx]'Lake P Results'!V136", 12.93)</f>
        <v>12.93</v>
      </c>
      <c r="X590" s="27">
        <f>HYPERLINK("[N&amp;P New retention.xlsx]'Lake P Results'!V136", 12.93)</f>
        <v>12.93</v>
      </c>
      <c r="Y590" s="27">
        <f>HYPERLINK("[N&amp;P with New retention and Differentiation.xlsx]'Lake P Results'!V136", 12.93)</f>
        <v>12.93</v>
      </c>
      <c r="Z590" s="18"/>
      <c r="AA590" s="18"/>
      <c r="AB590" s="27">
        <f>HYPERLINK("[N&amp;P Old retention.xlsx]'Lake P Results'!Z136", 7.24)</f>
        <v>7.24</v>
      </c>
      <c r="AC590" s="27">
        <f>HYPERLINK("[N&amp;P New retention.xlsx]'Lake P Results'!Z136", 19.71)</f>
        <v>19.71</v>
      </c>
      <c r="AD590" s="27">
        <f>HYPERLINK("[N&amp;P with New retention and Differentiation.xlsx]'Lake P Results'!Z136", 7.24)</f>
        <v>7.24</v>
      </c>
      <c r="AE590" s="46">
        <f>AC590-AB590</f>
        <v>12.47</v>
      </c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27">
        <f>HYPERLINK("[N&amp;P Old retention.xlsx]'Lake P Results'!M136", 127.526)</f>
        <v>127.526</v>
      </c>
      <c r="AW590" s="27">
        <f>HYPERLINK("[N&amp;P New retention.xlsx]'Lake P Results'!M136", 112.472)</f>
        <v>112.47199999999999</v>
      </c>
      <c r="AX590" s="27">
        <f>HYPERLINK("[N&amp;P with New retention and Differentiation.xlsx]'Lake P Results'!M136", 112.472)</f>
        <v>112.47199999999999</v>
      </c>
      <c r="AY590" s="47">
        <f>AW590-AV590</f>
        <v>-15.054000000000002</v>
      </c>
      <c r="AZ590" s="47">
        <f>AX590-AV590</f>
        <v>-15.054000000000002</v>
      </c>
      <c r="BA590" s="27">
        <f>HYPERLINK("[N&amp;P Old retention.xlsx]'Lake P Results'!O136", 16.642)</f>
        <v>16.641999999999999</v>
      </c>
      <c r="BB590" s="27">
        <f>HYPERLINK("[N&amp;P New retention.xlsx]'Lake P Results'!O136", 16.642)</f>
        <v>16.641999999999999</v>
      </c>
      <c r="BC590" s="27">
        <f>HYPERLINK("[N&amp;P with New retention and Differentiation.xlsx]'Lake P Results'!O136", 16.642)</f>
        <v>16.641999999999999</v>
      </c>
      <c r="BD590" s="18"/>
      <c r="BE590" s="18"/>
      <c r="BF590" s="27">
        <f>HYPERLINK("[N&amp;P Old retention.xlsx]'Lake P Results'!R136", 0.18)</f>
        <v>0.18</v>
      </c>
      <c r="BG590" s="27">
        <f>HYPERLINK("[N&amp;P New retention.xlsx]'Lake P Results'!R136", 0.18)</f>
        <v>0.18</v>
      </c>
      <c r="BH590" s="27">
        <f>HYPERLINK("[N&amp;P with New retention and Differentiation.xlsx]'Lake P Results'!R136", 0.18)</f>
        <v>0.18</v>
      </c>
      <c r="BI590" s="18"/>
      <c r="BJ590" s="18"/>
      <c r="BK590" s="18"/>
      <c r="BL590" s="18"/>
      <c r="BM590" s="18"/>
      <c r="BN590" s="18"/>
      <c r="BO590" s="18"/>
    </row>
    <row r="591" spans="1:67" x14ac:dyDescent="0.55000000000000004">
      <c r="A591" s="31">
        <v>412</v>
      </c>
      <c r="B591" s="5" t="s">
        <v>450</v>
      </c>
      <c r="C591" s="29">
        <f>HYPERLINK("[N&amp;P Old retention.xlsx]'Lake P Results'!AE137", 29.246)</f>
        <v>29.245999999999999</v>
      </c>
      <c r="D591" s="29">
        <f>HYPERLINK("[N&amp;P New retention.xlsx]'Lake P Results'!AE137", 29.246)</f>
        <v>29.245999999999999</v>
      </c>
      <c r="E591" s="29">
        <f>HYPERLINK("[N&amp;P with New retention and Differentiation.xlsx]'Lake P Results'!AE137", 29.246)</f>
        <v>29.245999999999999</v>
      </c>
      <c r="F591" s="13"/>
      <c r="G591" s="13"/>
      <c r="H591" s="28">
        <f>HYPERLINK("[N&amp;P Old retention.xlsx]'Lake P Results'!AM137", 98000)</f>
        <v>98000</v>
      </c>
      <c r="I591" s="28">
        <f>HYPERLINK("[N&amp;P New retention.xlsx]'Lake P Results'!AM137", 98000)</f>
        <v>98000</v>
      </c>
      <c r="J591" s="28">
        <f>HYPERLINK("[N&amp;P with New retention and Differentiation.xlsx]'Lake P Results'!AM137", 98000)</f>
        <v>98000</v>
      </c>
      <c r="K591" s="13"/>
      <c r="L591" s="13"/>
      <c r="M591" s="29">
        <f>HYPERLINK("[N&amp;P Old retention.xlsx]'Lake P Results'!AC137", 88.566)</f>
        <v>88.566000000000003</v>
      </c>
      <c r="N591" s="29">
        <f>HYPERLINK("[N&amp;P New retention.xlsx]'Lake P Results'!AC137", 88.146)</f>
        <v>88.146000000000001</v>
      </c>
      <c r="O591" s="29">
        <f>HYPERLINK("[N&amp;P with New retention and Differentiation.xlsx]'Lake P Results'!AC137", 85.206)</f>
        <v>85.206000000000003</v>
      </c>
      <c r="P591" s="47">
        <f>N591-M591</f>
        <v>-0.42000000000000171</v>
      </c>
      <c r="Q591" s="47">
        <f>O591-M591</f>
        <v>-3.3599999999999994</v>
      </c>
      <c r="R591" s="29">
        <f>HYPERLINK("[N&amp;P Old retention.xlsx]'Lake P Results'!Y137", 169.956)</f>
        <v>169.95599999999999</v>
      </c>
      <c r="S591" s="29">
        <f>HYPERLINK("[N&amp;P New retention.xlsx]'Lake P Results'!Y137", 147.19)</f>
        <v>147.19</v>
      </c>
      <c r="T591" s="29">
        <f>HYPERLINK("[N&amp;P with New retention and Differentiation.xlsx]'Lake P Results'!Y137", 156.196)</f>
        <v>156.196</v>
      </c>
      <c r="U591" s="47">
        <f>S591-R591</f>
        <v>-22.765999999999991</v>
      </c>
      <c r="V591" s="47">
        <f>T591-R591</f>
        <v>-13.759999999999991</v>
      </c>
      <c r="W591" s="29">
        <f>HYPERLINK("[N&amp;P Old retention.xlsx]'Lake P Results'!V137", 303.96)</f>
        <v>303.95999999999998</v>
      </c>
      <c r="X591" s="29">
        <f>HYPERLINK("[N&amp;P New retention.xlsx]'Lake P Results'!V137", 303.96)</f>
        <v>303.95999999999998</v>
      </c>
      <c r="Y591" s="29">
        <f>HYPERLINK("[N&amp;P with New retention and Differentiation.xlsx]'Lake P Results'!V137", 303.96)</f>
        <v>303.95999999999998</v>
      </c>
      <c r="Z591" s="13"/>
      <c r="AA591" s="13"/>
      <c r="AB591" s="29">
        <f>HYPERLINK("[N&amp;P Old retention.xlsx]'Lake P Results'!Z137", 128.93)</f>
        <v>128.93</v>
      </c>
      <c r="AC591" s="29">
        <f>HYPERLINK("[N&amp;P New retention.xlsx]'Lake P Results'!Z137", 152.116)</f>
        <v>152.11600000000001</v>
      </c>
      <c r="AD591" s="29">
        <f>HYPERLINK("[N&amp;P with New retention and Differentiation.xlsx]'Lake P Results'!Z137", 146.05)</f>
        <v>146.05000000000001</v>
      </c>
      <c r="AE591" s="46">
        <f>AC591-AB591</f>
        <v>23.186000000000007</v>
      </c>
      <c r="AF591" s="46">
        <f>AD591-AB591</f>
        <v>17.120000000000005</v>
      </c>
      <c r="AG591" s="29">
        <f>HYPERLINK("[N&amp;P Old retention.xlsx]'Lake P Results'!AA137", 2.228)</f>
        <v>2.2280000000000002</v>
      </c>
      <c r="AH591" s="29">
        <f>HYPERLINK("[N&amp;P New retention.xlsx]'Lake P Results'!AA137", 2.228)</f>
        <v>2.2280000000000002</v>
      </c>
      <c r="AI591" s="29">
        <f>HYPERLINK("[N&amp;P with New retention and Differentiation.xlsx]'Lake P Results'!AA137", 2.228)</f>
        <v>2.2280000000000002</v>
      </c>
      <c r="AJ591" s="13"/>
      <c r="AK591" s="13"/>
      <c r="AL591" s="29">
        <f>HYPERLINK("[N&amp;P Old retention.xlsx]'Lake P Results'!AF137", 0.0999999999999999)</f>
        <v>9.9999999999999895E-2</v>
      </c>
      <c r="AM591" s="29">
        <f>HYPERLINK("[N&amp;P New retention.xlsx]'Lake P Results'!AF137", 0.0999999999999999)</f>
        <v>9.9999999999999895E-2</v>
      </c>
      <c r="AN591" s="29">
        <f>HYPERLINK("[N&amp;P with New retention and Differentiation.xlsx]'Lake P Results'!AF137", 0.0999999999999999)</f>
        <v>9.9999999999999895E-2</v>
      </c>
      <c r="AO591" s="13"/>
      <c r="AP591" s="13"/>
      <c r="AQ591" s="28">
        <f>HYPERLINK("[N&amp;P Old retention.xlsx]'Lake P Results'!AH137", 1600)</f>
        <v>1600</v>
      </c>
      <c r="AR591" s="28">
        <f>HYPERLINK("[N&amp;P New retention.xlsx]'Lake P Results'!AH137", 1600)</f>
        <v>1600</v>
      </c>
      <c r="AS591" s="28">
        <f>HYPERLINK("[N&amp;P with New retention and Differentiation.xlsx]'Lake P Results'!AH137", 1600)</f>
        <v>1600</v>
      </c>
      <c r="AT591" s="13"/>
      <c r="AU591" s="13"/>
      <c r="AV591" s="29">
        <f>HYPERLINK("[N&amp;P Old retention.xlsx]'Lake P Results'!M137", 2478.88)</f>
        <v>2478.88</v>
      </c>
      <c r="AW591" s="29">
        <f>HYPERLINK("[N&amp;P New retention.xlsx]'Lake P Results'!M137", 2478.88)</f>
        <v>2478.88</v>
      </c>
      <c r="AX591" s="29">
        <f>HYPERLINK("[N&amp;P with New retention and Differentiation.xlsx]'Lake P Results'!M137", 2478.88)</f>
        <v>2478.88</v>
      </c>
      <c r="AY591" s="13"/>
      <c r="AZ591" s="13"/>
      <c r="BA591" s="29">
        <f>HYPERLINK("[N&amp;P Old retention.xlsx]'Lake P Results'!O137", 41.708)</f>
        <v>41.707999999999998</v>
      </c>
      <c r="BB591" s="29">
        <f>HYPERLINK("[N&amp;P New retention.xlsx]'Lake P Results'!O137", 41.708)</f>
        <v>41.707999999999998</v>
      </c>
      <c r="BC591" s="29">
        <f>HYPERLINK("[N&amp;P with New retention and Differentiation.xlsx]'Lake P Results'!O137", 41.708)</f>
        <v>41.707999999999998</v>
      </c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</row>
    <row r="592" spans="1:67" x14ac:dyDescent="0.55000000000000004">
      <c r="A592" s="30">
        <v>413</v>
      </c>
      <c r="B592" s="6" t="s">
        <v>451</v>
      </c>
      <c r="C592" s="27">
        <f>HYPERLINK("[N&amp;P Old retention.xlsx]'Lake P Results'!AE138", 31.69)</f>
        <v>31.69</v>
      </c>
      <c r="D592" s="27">
        <f>HYPERLINK("[N&amp;P New retention.xlsx]'Lake P Results'!AE138", 31.65)</f>
        <v>31.65</v>
      </c>
      <c r="E592" s="27">
        <f>HYPERLINK("[N&amp;P with New retention and Differentiation.xlsx]'Lake P Results'!AE138", 31.45)</f>
        <v>31.45</v>
      </c>
      <c r="F592" s="47">
        <f>D592-C592</f>
        <v>-4.00000000000027E-2</v>
      </c>
      <c r="G592" s="47">
        <f>E592-C592</f>
        <v>-0.24000000000000199</v>
      </c>
      <c r="H592" s="26">
        <f>HYPERLINK("[N&amp;P Old retention.xlsx]'Lake P Results'!AM138", 46100)</f>
        <v>46100</v>
      </c>
      <c r="I592" s="26">
        <f>HYPERLINK("[N&amp;P New retention.xlsx]'Lake P Results'!AM138", 46000)</f>
        <v>46000</v>
      </c>
      <c r="J592" s="26">
        <f>HYPERLINK("[N&amp;P with New retention and Differentiation.xlsx]'Lake P Results'!AM138", 39300)</f>
        <v>39300</v>
      </c>
      <c r="K592" s="21">
        <f>I592-H592</f>
        <v>-100</v>
      </c>
      <c r="L592" s="21">
        <f>J592-H592</f>
        <v>-6800</v>
      </c>
      <c r="M592" s="27">
        <f>HYPERLINK("[N&amp;P Old retention.xlsx]'Lake P Results'!AC138", 15.09)</f>
        <v>15.09</v>
      </c>
      <c r="N592" s="27">
        <f>HYPERLINK("[N&amp;P New retention.xlsx]'Lake P Results'!AC138", 19.93)</f>
        <v>19.93</v>
      </c>
      <c r="O592" s="27">
        <f>HYPERLINK("[N&amp;P with New retention and Differentiation.xlsx]'Lake P Results'!AC138", 13.86)</f>
        <v>13.86</v>
      </c>
      <c r="P592" s="46">
        <f>N592-M592</f>
        <v>4.84</v>
      </c>
      <c r="Q592" s="47">
        <f>O592-M592</f>
        <v>-1.2300000000000004</v>
      </c>
      <c r="R592" s="27">
        <f>HYPERLINK("[N&amp;P Old retention.xlsx]'Lake P Results'!Y138", 2.12)</f>
        <v>2.12</v>
      </c>
      <c r="S592" s="27">
        <f>HYPERLINK("[N&amp;P New retention.xlsx]'Lake P Results'!Y138", 1.49)</f>
        <v>1.49</v>
      </c>
      <c r="T592" s="27">
        <f>HYPERLINK("[N&amp;P with New retention and Differentiation.xlsx]'Lake P Results'!Y138", 2.23)</f>
        <v>2.23</v>
      </c>
      <c r="U592" s="47">
        <f>S592-R592</f>
        <v>-0.63000000000000012</v>
      </c>
      <c r="V592" s="46">
        <f>T592-R592</f>
        <v>0.10999999999999988</v>
      </c>
      <c r="W592" s="27">
        <f>HYPERLINK("[N&amp;P Old retention.xlsx]'Lake P Results'!V138", 10.82)</f>
        <v>10.82</v>
      </c>
      <c r="X592" s="27">
        <f>HYPERLINK("[N&amp;P New retention.xlsx]'Lake P Results'!V138", 4.296)</f>
        <v>4.2960000000000003</v>
      </c>
      <c r="Y592" s="18"/>
      <c r="Z592" s="47">
        <f>X592-W592</f>
        <v>-6.524</v>
      </c>
      <c r="AA592" s="47">
        <f>Y592-W592</f>
        <v>-10.82</v>
      </c>
      <c r="AB592" s="27">
        <f>HYPERLINK("[N&amp;P Old retention.xlsx]'Lake P Results'!Z138", 26.54)</f>
        <v>26.54</v>
      </c>
      <c r="AC592" s="27">
        <f>HYPERLINK("[N&amp;P New retention.xlsx]'Lake P Results'!Z138", 20.33)</f>
        <v>20.329999999999998</v>
      </c>
      <c r="AD592" s="27">
        <f>HYPERLINK("[N&amp;P with New retention and Differentiation.xlsx]'Lake P Results'!Z138", 23.52)</f>
        <v>23.52</v>
      </c>
      <c r="AE592" s="47">
        <f>AC592-AB592</f>
        <v>-6.2100000000000009</v>
      </c>
      <c r="AF592" s="47">
        <f>AD592-AB592</f>
        <v>-3.0199999999999996</v>
      </c>
      <c r="AG592" s="27">
        <f>HYPERLINK("[N&amp;P Old retention.xlsx]'Lake P Results'!AA138", 32.976)</f>
        <v>32.975999999999999</v>
      </c>
      <c r="AH592" s="27">
        <f>HYPERLINK("[N&amp;P New retention.xlsx]'Lake P Results'!AA138", 66.986)</f>
        <v>66.986000000000004</v>
      </c>
      <c r="AI592" s="27">
        <f>HYPERLINK("[N&amp;P with New retention and Differentiation.xlsx]'Lake P Results'!AA138", 61.846)</f>
        <v>61.845999999999997</v>
      </c>
      <c r="AJ592" s="46">
        <f>AH592-AG592</f>
        <v>34.010000000000005</v>
      </c>
      <c r="AK592" s="46">
        <f>AI592-AG592</f>
        <v>28.869999999999997</v>
      </c>
      <c r="AL592" s="18"/>
      <c r="AM592" s="18"/>
      <c r="AN592" s="18"/>
      <c r="AO592" s="18"/>
      <c r="AP592" s="18"/>
      <c r="AQ592" s="26">
        <f>HYPERLINK("[N&amp;P Old retention.xlsx]'Lake P Results'!AH138", 40)</f>
        <v>40</v>
      </c>
      <c r="AR592" s="26">
        <f>HYPERLINK("[N&amp;P New retention.xlsx]'Lake P Results'!AH138", 20)</f>
        <v>20</v>
      </c>
      <c r="AS592" s="26">
        <f>HYPERLINK("[N&amp;P with New retention and Differentiation.xlsx]'Lake P Results'!AH138", 20)</f>
        <v>20</v>
      </c>
      <c r="AT592" s="21">
        <f>AR592-AQ592</f>
        <v>-20</v>
      </c>
      <c r="AU592" s="21">
        <f>AS592-AQ592</f>
        <v>-20</v>
      </c>
      <c r="AV592" s="27">
        <f>HYPERLINK("[N&amp;P Old retention.xlsx]'Lake P Results'!M138", 385.394)</f>
        <v>385.39400000000001</v>
      </c>
      <c r="AW592" s="27">
        <f>HYPERLINK("[N&amp;P New retention.xlsx]'Lake P Results'!M138", 591.924)</f>
        <v>591.92399999999998</v>
      </c>
      <c r="AX592" s="27">
        <f>HYPERLINK("[N&amp;P with New retention and Differentiation.xlsx]'Lake P Results'!M138", 586.944)</f>
        <v>586.94399999999996</v>
      </c>
      <c r="AY592" s="46">
        <f>AW592-AV592</f>
        <v>206.52999999999997</v>
      </c>
      <c r="AZ592" s="46">
        <f>AX592-AV592</f>
        <v>201.54999999999995</v>
      </c>
      <c r="BA592" s="18"/>
      <c r="BB592" s="18"/>
      <c r="BC592" s="18"/>
      <c r="BD592" s="18"/>
      <c r="BE592" s="18"/>
      <c r="BF592" s="27">
        <f>HYPERLINK("[N&amp;P Old retention.xlsx]'Lake P Results'!R138", 131.558)</f>
        <v>131.55799999999999</v>
      </c>
      <c r="BG592" s="27">
        <f>HYPERLINK("[N&amp;P New retention.xlsx]'Lake P Results'!R138", 34.734)</f>
        <v>34.734000000000002</v>
      </c>
      <c r="BH592" s="27">
        <f>HYPERLINK("[N&amp;P with New retention and Differentiation.xlsx]'Lake P Results'!R138", 38.822)</f>
        <v>38.822000000000003</v>
      </c>
      <c r="BI592" s="47">
        <f>BG592-BF592</f>
        <v>-96.823999999999984</v>
      </c>
      <c r="BJ592" s="47">
        <f>BH592-BF592</f>
        <v>-92.73599999999999</v>
      </c>
      <c r="BK592" s="27">
        <f>HYPERLINK("[N&amp;P Old retention.xlsx]'Lake P Results'!Q138", 23.45)</f>
        <v>23.45</v>
      </c>
      <c r="BL592" s="27">
        <f>HYPERLINK("[N&amp;P New retention.xlsx]'Lake P Results'!Q138", 20.81)</f>
        <v>20.81</v>
      </c>
      <c r="BM592" s="27">
        <f>HYPERLINK("[N&amp;P with New retention and Differentiation.xlsx]'Lake P Results'!Q138", 23.18)</f>
        <v>23.18</v>
      </c>
      <c r="BN592" s="47">
        <f>BL592-BK592</f>
        <v>-2.6400000000000006</v>
      </c>
      <c r="BO592" s="47">
        <f>BM592-BK592</f>
        <v>-0.26999999999999957</v>
      </c>
    </row>
    <row r="593" spans="1:67" x14ac:dyDescent="0.55000000000000004">
      <c r="A593" s="31">
        <v>418</v>
      </c>
      <c r="B593" s="5" t="s">
        <v>452</v>
      </c>
      <c r="C593" s="29">
        <f>HYPERLINK("[N&amp;P Old retention.xlsx]'Lake P Results'!AE139", 2.34)</f>
        <v>2.34</v>
      </c>
      <c r="D593" s="29">
        <f>HYPERLINK("[N&amp;P New retention.xlsx]'Lake P Results'!AE139", 2.34)</f>
        <v>2.34</v>
      </c>
      <c r="E593" s="29">
        <f>HYPERLINK("[N&amp;P with New retention and Differentiation.xlsx]'Lake P Results'!AE139", 2.34)</f>
        <v>2.34</v>
      </c>
      <c r="F593" s="13"/>
      <c r="G593" s="13"/>
      <c r="H593" s="28">
        <f>HYPERLINK("[N&amp;P Old retention.xlsx]'Lake P Results'!AM139", 37500)</f>
        <v>37500</v>
      </c>
      <c r="I593" s="28">
        <f>HYPERLINK("[N&amp;P New retention.xlsx]'Lake P Results'!AM139", 37500)</f>
        <v>37500</v>
      </c>
      <c r="J593" s="28">
        <f>HYPERLINK("[N&amp;P with New retention and Differentiation.xlsx]'Lake P Results'!AM139", 37500)</f>
        <v>37500</v>
      </c>
      <c r="K593" s="13"/>
      <c r="L593" s="13"/>
      <c r="M593" s="29">
        <f>HYPERLINK("[N&amp;P Old retention.xlsx]'Lake P Results'!AC139", 2.27)</f>
        <v>2.27</v>
      </c>
      <c r="N593" s="29">
        <f>HYPERLINK("[N&amp;P New retention.xlsx]'Lake P Results'!AC139", 2.27)</f>
        <v>2.27</v>
      </c>
      <c r="O593" s="29">
        <f>HYPERLINK("[N&amp;P with New retention and Differentiation.xlsx]'Lake P Results'!AC139", 2.27)</f>
        <v>2.27</v>
      </c>
      <c r="P593" s="13"/>
      <c r="Q593" s="13"/>
      <c r="R593" s="13"/>
      <c r="S593" s="13"/>
      <c r="T593" s="13"/>
      <c r="U593" s="13"/>
      <c r="V593" s="13"/>
      <c r="W593" s="29">
        <f>HYPERLINK("[N&amp;P Old retention.xlsx]'Lake P Results'!V139", 3.75)</f>
        <v>3.75</v>
      </c>
      <c r="X593" s="29">
        <f>HYPERLINK("[N&amp;P New retention.xlsx]'Lake P Results'!V139", 3.75)</f>
        <v>3.75</v>
      </c>
      <c r="Y593" s="29">
        <f>HYPERLINK("[N&amp;P with New retention and Differentiation.xlsx]'Lake P Results'!V139", 3.75)</f>
        <v>3.75</v>
      </c>
      <c r="Z593" s="13"/>
      <c r="AA593" s="13"/>
      <c r="AB593" s="13"/>
      <c r="AC593" s="13"/>
      <c r="AD593" s="13"/>
      <c r="AE593" s="13"/>
      <c r="AF593" s="13"/>
      <c r="AG593" s="29">
        <f>HYPERLINK("[N&amp;P Old retention.xlsx]'Lake P Results'!AA139", 24.806)</f>
        <v>24.806000000000001</v>
      </c>
      <c r="AH593" s="29">
        <f>HYPERLINK("[N&amp;P New retention.xlsx]'Lake P Results'!AA139", 24.806)</f>
        <v>24.806000000000001</v>
      </c>
      <c r="AI593" s="29">
        <f>HYPERLINK("[N&amp;P with New retention and Differentiation.xlsx]'Lake P Results'!AA139", 24.806)</f>
        <v>24.806000000000001</v>
      </c>
      <c r="AJ593" s="13"/>
      <c r="AK593" s="13"/>
      <c r="AL593" s="13"/>
      <c r="AM593" s="13"/>
      <c r="AN593" s="13"/>
      <c r="AO593" s="13"/>
      <c r="AP593" s="13"/>
      <c r="AQ593" s="28">
        <f>HYPERLINK("[N&amp;P Old retention.xlsx]'Lake P Results'!AH139", 290)</f>
        <v>290</v>
      </c>
      <c r="AR593" s="28">
        <f>HYPERLINK("[N&amp;P New retention.xlsx]'Lake P Results'!AH139", 290)</f>
        <v>290</v>
      </c>
      <c r="AS593" s="28">
        <f>HYPERLINK("[N&amp;P with New retention and Differentiation.xlsx]'Lake P Results'!AH139", 290)</f>
        <v>290</v>
      </c>
      <c r="AT593" s="13"/>
      <c r="AU593" s="13"/>
      <c r="AV593" s="29">
        <f>HYPERLINK("[N&amp;P Old retention.xlsx]'Lake P Results'!M139", 2037.882)</f>
        <v>2037.8820000000001</v>
      </c>
      <c r="AW593" s="29">
        <f>HYPERLINK("[N&amp;P New retention.xlsx]'Lake P Results'!M139", 1770.146)</f>
        <v>1770.146</v>
      </c>
      <c r="AX593" s="29">
        <f>HYPERLINK("[N&amp;P with New retention and Differentiation.xlsx]'Lake P Results'!M139", 1770.146)</f>
        <v>1770.146</v>
      </c>
      <c r="AY593" s="47">
        <f>AW593-AV593</f>
        <v>-267.7360000000001</v>
      </c>
      <c r="AZ593" s="47">
        <f>AX593-AV593</f>
        <v>-267.7360000000001</v>
      </c>
      <c r="BA593" s="29">
        <f>HYPERLINK("[N&amp;P Old retention.xlsx]'Lake P Results'!O139", 40.132)</f>
        <v>40.131999999999998</v>
      </c>
      <c r="BB593" s="29">
        <f>HYPERLINK("[N&amp;P New retention.xlsx]'Lake P Results'!O139", 36.722)</f>
        <v>36.722000000000001</v>
      </c>
      <c r="BC593" s="29">
        <f>HYPERLINK("[N&amp;P with New retention and Differentiation.xlsx]'Lake P Results'!O139", 36.722)</f>
        <v>36.722000000000001</v>
      </c>
      <c r="BD593" s="47">
        <f>BB593-BA593</f>
        <v>-3.4099999999999966</v>
      </c>
      <c r="BE593" s="47">
        <f>BC593-BA593</f>
        <v>-3.4099999999999966</v>
      </c>
      <c r="BF593" s="13"/>
      <c r="BG593" s="13"/>
      <c r="BH593" s="13"/>
      <c r="BI593" s="13"/>
      <c r="BJ593" s="13"/>
      <c r="BK593" s="29">
        <f>HYPERLINK("[N&amp;P Old retention.xlsx]'Lake P Results'!Q139", 0.632)</f>
        <v>0.63200000000000001</v>
      </c>
      <c r="BL593" s="13"/>
      <c r="BM593" s="13"/>
      <c r="BN593" s="47">
        <f>BL593-BK593</f>
        <v>-0.63200000000000001</v>
      </c>
      <c r="BO593" s="47">
        <f>BM593-BK593</f>
        <v>-0.63200000000000001</v>
      </c>
    </row>
    <row r="594" spans="1:67" x14ac:dyDescent="0.55000000000000004">
      <c r="A594" s="30">
        <v>419</v>
      </c>
      <c r="B594" s="6" t="s">
        <v>453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27">
        <f>HYPERLINK("[N&amp;P Old retention.xlsx]'Lake P Results'!M140", 307.806)</f>
        <v>307.80599999999998</v>
      </c>
      <c r="AW594" s="27">
        <f>HYPERLINK("[N&amp;P New retention.xlsx]'Lake P Results'!M140", 132.92)</f>
        <v>132.91999999999999</v>
      </c>
      <c r="AX594" s="27">
        <f>HYPERLINK("[N&amp;P with New retention and Differentiation.xlsx]'Lake P Results'!M140", 132.92)</f>
        <v>132.91999999999999</v>
      </c>
      <c r="AY594" s="47">
        <f>AW594-AV594</f>
        <v>-174.886</v>
      </c>
      <c r="AZ594" s="47">
        <f>AX594-AV594</f>
        <v>-174.886</v>
      </c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</row>
    <row r="595" spans="1:67" x14ac:dyDescent="0.55000000000000004">
      <c r="A595" s="31">
        <v>420</v>
      </c>
      <c r="B595" s="5" t="s">
        <v>454</v>
      </c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</row>
    <row r="596" spans="1:67" x14ac:dyDescent="0.55000000000000004">
      <c r="A596" s="30">
        <v>424</v>
      </c>
      <c r="B596" s="6" t="s">
        <v>455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27">
        <f>HYPERLINK("[N&amp;P Old retention.xlsx]'Lake P Results'!O142", 152.686)</f>
        <v>152.68600000000001</v>
      </c>
      <c r="BB596" s="27">
        <f>HYPERLINK("[N&amp;P New retention.xlsx]'Lake P Results'!O142", 146.586)</f>
        <v>146.58600000000001</v>
      </c>
      <c r="BC596" s="27">
        <f>HYPERLINK("[N&amp;P with New retention and Differentiation.xlsx]'Lake P Results'!O142", 140.396)</f>
        <v>140.39599999999999</v>
      </c>
      <c r="BD596" s="47">
        <f>BB596-BA596</f>
        <v>-6.0999999999999943</v>
      </c>
      <c r="BE596" s="47">
        <f>BC596-BA596</f>
        <v>-12.29000000000002</v>
      </c>
      <c r="BF596" s="18"/>
      <c r="BG596" s="27">
        <f>HYPERLINK("[N&amp;P New retention.xlsx]'Lake P Results'!R142", 36.488)</f>
        <v>36.488</v>
      </c>
      <c r="BH596" s="27">
        <f>HYPERLINK("[N&amp;P with New retention and Differentiation.xlsx]'Lake P Results'!R142", 37.058)</f>
        <v>37.058</v>
      </c>
      <c r="BI596" s="46">
        <f>BG596-BF596</f>
        <v>36.488</v>
      </c>
      <c r="BJ596" s="46">
        <f>BH596-BF596</f>
        <v>37.058</v>
      </c>
      <c r="BK596" s="27">
        <f>HYPERLINK("[N&amp;P Old retention.xlsx]'Lake P Results'!Q142", 45.25)</f>
        <v>45.25</v>
      </c>
      <c r="BL596" s="27">
        <f>HYPERLINK("[N&amp;P New retention.xlsx]'Lake P Results'!Q142", 46.67)</f>
        <v>46.67</v>
      </c>
      <c r="BM596" s="27">
        <f>HYPERLINK("[N&amp;P with New retention and Differentiation.xlsx]'Lake P Results'!Q142", 47.27)</f>
        <v>47.27</v>
      </c>
      <c r="BN596" s="46">
        <f>BL596-BK596</f>
        <v>1.4200000000000017</v>
      </c>
      <c r="BO596" s="46">
        <f>BM596-BK596</f>
        <v>2.0200000000000031</v>
      </c>
    </row>
    <row r="597" spans="1:67" x14ac:dyDescent="0.55000000000000004">
      <c r="A597" s="31">
        <v>428</v>
      </c>
      <c r="B597" s="5" t="s">
        <v>456</v>
      </c>
      <c r="C597" s="13"/>
      <c r="D597" s="13"/>
      <c r="E597" s="13"/>
      <c r="F597" s="13"/>
      <c r="G597" s="13"/>
      <c r="H597" s="28">
        <f>HYPERLINK("[N&amp;P Old retention.xlsx]'Lake P Results'!AM143", 1000)</f>
        <v>1000</v>
      </c>
      <c r="I597" s="28">
        <f>HYPERLINK("[N&amp;P New retention.xlsx]'Lake P Results'!AM143", 1000)</f>
        <v>1000</v>
      </c>
      <c r="J597" s="28">
        <f>HYPERLINK("[N&amp;P with New retention and Differentiation.xlsx]'Lake P Results'!AM143", 1000)</f>
        <v>1000</v>
      </c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29">
        <f>HYPERLINK("[N&amp;P Old retention.xlsx]'Lake P Results'!Q143", 1.46)</f>
        <v>1.46</v>
      </c>
      <c r="BL597" s="29">
        <f>HYPERLINK("[N&amp;P New retention.xlsx]'Lake P Results'!Q143", 1.46)</f>
        <v>1.46</v>
      </c>
      <c r="BM597" s="29">
        <f>HYPERLINK("[N&amp;P with New retention and Differentiation.xlsx]'Lake P Results'!Q143", 1.46)</f>
        <v>1.46</v>
      </c>
      <c r="BN597" s="13"/>
      <c r="BO597" s="13"/>
    </row>
    <row r="598" spans="1:67" x14ac:dyDescent="0.55000000000000004">
      <c r="A598" s="30">
        <v>429</v>
      </c>
      <c r="B598" s="6" t="s">
        <v>457</v>
      </c>
      <c r="C598" s="18"/>
      <c r="D598" s="18"/>
      <c r="E598" s="18"/>
      <c r="F598" s="18"/>
      <c r="G598" s="18"/>
      <c r="H598" s="26">
        <f>HYPERLINK("[N&amp;P Old retention.xlsx]'Lake P Results'!AM144", 549900)</f>
        <v>549900</v>
      </c>
      <c r="I598" s="26">
        <f>HYPERLINK("[N&amp;P New retention.xlsx]'Lake P Results'!AM144", 549000)</f>
        <v>549000</v>
      </c>
      <c r="J598" s="26">
        <f>HYPERLINK("[N&amp;P with New retention and Differentiation.xlsx]'Lake P Results'!AM144", 526300)</f>
        <v>526300</v>
      </c>
      <c r="K598" s="21">
        <f>I598-H598</f>
        <v>-900</v>
      </c>
      <c r="L598" s="21">
        <f>J598-H598</f>
        <v>-23600</v>
      </c>
      <c r="M598" s="18"/>
      <c r="N598" s="27">
        <f>HYPERLINK("[N&amp;P New retention.xlsx]'Lake P Results'!AC144", 0.11)</f>
        <v>0.11</v>
      </c>
      <c r="O598" s="27">
        <f>HYPERLINK("[N&amp;P with New retention and Differentiation.xlsx]'Lake P Results'!AC144", 0.11)</f>
        <v>0.11</v>
      </c>
      <c r="P598" s="46">
        <f>N598-M598</f>
        <v>0.11</v>
      </c>
      <c r="Q598" s="46">
        <f>O598-M598</f>
        <v>0.11</v>
      </c>
      <c r="R598" s="27">
        <f>HYPERLINK("[N&amp;P Old retention.xlsx]'Lake P Results'!Y144", 0.11)</f>
        <v>0.11</v>
      </c>
      <c r="S598" s="18"/>
      <c r="T598" s="18"/>
      <c r="U598" s="47">
        <f>S598-R598</f>
        <v>-0.11</v>
      </c>
      <c r="V598" s="47">
        <f>T598-R598</f>
        <v>-0.11</v>
      </c>
      <c r="W598" s="18"/>
      <c r="X598" s="18"/>
      <c r="Y598" s="18"/>
      <c r="Z598" s="18"/>
      <c r="AA598" s="18"/>
      <c r="AB598" s="27">
        <f>HYPERLINK("[N&amp;P Old retention.xlsx]'Lake P Results'!Z144", 3.69)</f>
        <v>3.69</v>
      </c>
      <c r="AC598" s="27">
        <f>HYPERLINK("[N&amp;P New retention.xlsx]'Lake P Results'!Z144", 3.69)</f>
        <v>3.69</v>
      </c>
      <c r="AD598" s="27">
        <f>HYPERLINK("[N&amp;P with New retention and Differentiation.xlsx]'Lake P Results'!Z144", 3.69)</f>
        <v>3.69</v>
      </c>
      <c r="AE598" s="18"/>
      <c r="AF598" s="18"/>
      <c r="AG598" s="27">
        <f>HYPERLINK("[N&amp;P Old retention.xlsx]'Lake P Results'!AA144", 7.32)</f>
        <v>7.32</v>
      </c>
      <c r="AH598" s="27">
        <f>HYPERLINK("[N&amp;P New retention.xlsx]'Lake P Results'!AA144", 9.056)</f>
        <v>9.0559999999999992</v>
      </c>
      <c r="AI598" s="27">
        <f>HYPERLINK("[N&amp;P with New retention and Differentiation.xlsx]'Lake P Results'!AA144", 6.912)</f>
        <v>6.9119999999999999</v>
      </c>
      <c r="AJ598" s="46">
        <f>AH598-AG598</f>
        <v>1.7359999999999989</v>
      </c>
      <c r="AK598" s="47">
        <f>AI598-AG598</f>
        <v>-0.40800000000000036</v>
      </c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27">
        <f>HYPERLINK("[N&amp;P Old retention.xlsx]'Lake P Results'!M144", 47.452)</f>
        <v>47.451999999999998</v>
      </c>
      <c r="AW598" s="27">
        <f>HYPERLINK("[N&amp;P New retention.xlsx]'Lake P Results'!M144", 14.91)</f>
        <v>14.91</v>
      </c>
      <c r="AX598" s="27">
        <f>HYPERLINK("[N&amp;P with New retention and Differentiation.xlsx]'Lake P Results'!M144", 14.91)</f>
        <v>14.91</v>
      </c>
      <c r="AY598" s="47">
        <f>AW598-AV598</f>
        <v>-32.542000000000002</v>
      </c>
      <c r="AZ598" s="47">
        <f>AX598-AV598</f>
        <v>-32.542000000000002</v>
      </c>
      <c r="BA598" s="27">
        <f>HYPERLINK("[N&amp;P Old retention.xlsx]'Lake P Results'!O144", 2978.74)</f>
        <v>2978.74</v>
      </c>
      <c r="BB598" s="27">
        <f>HYPERLINK("[N&amp;P New retention.xlsx]'Lake P Results'!O144", 3103.222)</f>
        <v>3103.2220000000002</v>
      </c>
      <c r="BC598" s="27">
        <f>HYPERLINK("[N&amp;P with New retention and Differentiation.xlsx]'Lake P Results'!O144", 2953.62)</f>
        <v>2953.62</v>
      </c>
      <c r="BD598" s="46">
        <f>BB598-BA598</f>
        <v>124.48200000000043</v>
      </c>
      <c r="BE598" s="47">
        <f>BC598-BA598</f>
        <v>-25.119999999999891</v>
      </c>
      <c r="BF598" s="27">
        <f>HYPERLINK("[N&amp;P Old retention.xlsx]'Lake P Results'!R144", 342.158991150443)</f>
        <v>342.158991150443</v>
      </c>
      <c r="BG598" s="18"/>
      <c r="BH598" s="18"/>
      <c r="BI598" s="47">
        <f>BG598-BF598</f>
        <v>-342.158991150443</v>
      </c>
      <c r="BJ598" s="47">
        <f>BH598-BF598</f>
        <v>-342.158991150443</v>
      </c>
      <c r="BK598" s="27">
        <f>HYPERLINK("[N&amp;P Old retention.xlsx]'Lake P Results'!Q144", 604.61)</f>
        <v>604.61</v>
      </c>
      <c r="BL598" s="27">
        <f>HYPERLINK("[N&amp;P New retention.xlsx]'Lake P Results'!Q144", 488.126)</f>
        <v>488.12599999999998</v>
      </c>
      <c r="BM598" s="27">
        <f>HYPERLINK("[N&amp;P with New retention and Differentiation.xlsx]'Lake P Results'!Q144", 520.766)</f>
        <v>520.76599999999996</v>
      </c>
      <c r="BN598" s="47">
        <f>BL598-BK598</f>
        <v>-116.48400000000004</v>
      </c>
      <c r="BO598" s="47">
        <f>BM598-BK598</f>
        <v>-83.844000000000051</v>
      </c>
    </row>
    <row r="599" spans="1:67" x14ac:dyDescent="0.55000000000000004">
      <c r="A599" s="31">
        <v>430</v>
      </c>
      <c r="B599" s="5" t="s">
        <v>458</v>
      </c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29">
        <f>HYPERLINK("[N&amp;P Old retention.xlsx]'Lake P Results'!O145", 3.94)</f>
        <v>3.94</v>
      </c>
      <c r="BB599" s="29">
        <f>HYPERLINK("[N&amp;P New retention.xlsx]'Lake P Results'!O145", 3.94)</f>
        <v>3.94</v>
      </c>
      <c r="BC599" s="29">
        <f>HYPERLINK("[N&amp;P with New retention and Differentiation.xlsx]'Lake P Results'!O145", 3.94)</f>
        <v>3.94</v>
      </c>
      <c r="BD599" s="13"/>
      <c r="BE599" s="13"/>
      <c r="BF599" s="13"/>
      <c r="BG599" s="13"/>
      <c r="BH599" s="13"/>
      <c r="BI599" s="13"/>
      <c r="BJ599" s="13"/>
      <c r="BK599" s="29">
        <f>HYPERLINK("[N&amp;P Old retention.xlsx]'Lake P Results'!Q145", 9.79600000000001)</f>
        <v>9.79600000000001</v>
      </c>
      <c r="BL599" s="29">
        <f>HYPERLINK("[N&amp;P New retention.xlsx]'Lake P Results'!Q145", 7.116)</f>
        <v>7.1159999999999997</v>
      </c>
      <c r="BM599" s="29">
        <f>HYPERLINK("[N&amp;P with New retention and Differentiation.xlsx]'Lake P Results'!Q145", 7.116)</f>
        <v>7.1159999999999997</v>
      </c>
      <c r="BN599" s="47">
        <f>BL599-BK599</f>
        <v>-2.6800000000000104</v>
      </c>
      <c r="BO599" s="47">
        <f>BM599-BK599</f>
        <v>-2.6800000000000104</v>
      </c>
    </row>
    <row r="600" spans="1:67" x14ac:dyDescent="0.55000000000000004">
      <c r="A600" s="30">
        <v>432</v>
      </c>
      <c r="B600" s="6" t="s">
        <v>459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27">
        <f>HYPERLINK("[N&amp;P Old retention.xlsx]'Lake P Results'!O146", 199.102)</f>
        <v>199.102</v>
      </c>
      <c r="BB600" s="27">
        <f>HYPERLINK("[N&amp;P New retention.xlsx]'Lake P Results'!O146", 190.402)</f>
        <v>190.40199999999999</v>
      </c>
      <c r="BC600" s="27">
        <f>HYPERLINK("[N&amp;P with New retention and Differentiation.xlsx]'Lake P Results'!O146", 172.472)</f>
        <v>172.47200000000001</v>
      </c>
      <c r="BD600" s="47">
        <f>BB600-BA600</f>
        <v>-8.7000000000000171</v>
      </c>
      <c r="BE600" s="47">
        <f>BC600-BA600</f>
        <v>-26.629999999999995</v>
      </c>
      <c r="BF600" s="18"/>
      <c r="BG600" s="18"/>
      <c r="BH600" s="18"/>
      <c r="BI600" s="18"/>
      <c r="BJ600" s="18"/>
      <c r="BK600" s="27">
        <f>HYPERLINK("[N&amp;P Old retention.xlsx]'Lake P Results'!Q146", 37.29)</f>
        <v>37.29</v>
      </c>
      <c r="BL600" s="27">
        <f>HYPERLINK("[N&amp;P New retention.xlsx]'Lake P Results'!Q146", 45.968)</f>
        <v>45.968000000000004</v>
      </c>
      <c r="BM600" s="27">
        <f>HYPERLINK("[N&amp;P with New retention and Differentiation.xlsx]'Lake P Results'!Q146", 47.118)</f>
        <v>47.118000000000002</v>
      </c>
      <c r="BN600" s="46">
        <f>BL600-BK600</f>
        <v>8.6780000000000044</v>
      </c>
      <c r="BO600" s="46">
        <f>BM600-BK600</f>
        <v>9.828000000000003</v>
      </c>
    </row>
    <row r="601" spans="1:67" x14ac:dyDescent="0.55000000000000004">
      <c r="A601" s="31">
        <v>435</v>
      </c>
      <c r="B601" s="5" t="s">
        <v>460</v>
      </c>
      <c r="C601" s="13"/>
      <c r="D601" s="13"/>
      <c r="E601" s="13"/>
      <c r="F601" s="13"/>
      <c r="G601" s="13"/>
      <c r="H601" s="28">
        <f>HYPERLINK("[N&amp;P Old retention.xlsx]'Lake P Results'!AM147", 1000)</f>
        <v>1000</v>
      </c>
      <c r="I601" s="28">
        <f>HYPERLINK("[N&amp;P New retention.xlsx]'Lake P Results'!AM147", 1000)</f>
        <v>1000</v>
      </c>
      <c r="J601" s="28">
        <f>HYPERLINK("[N&amp;P with New retention and Differentiation.xlsx]'Lake P Results'!AM147", 1000)</f>
        <v>1000</v>
      </c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29">
        <f>HYPERLINK("[N&amp;P Old retention.xlsx]'Lake P Results'!R147", 29.41)</f>
        <v>29.41</v>
      </c>
      <c r="BG601" s="13"/>
      <c r="BH601" s="13"/>
      <c r="BI601" s="47">
        <f>BG601-BF601</f>
        <v>-29.41</v>
      </c>
      <c r="BJ601" s="47">
        <f>BH601-BF601</f>
        <v>-29.41</v>
      </c>
      <c r="BK601" s="29">
        <f>HYPERLINK("[N&amp;P Old retention.xlsx]'Lake P Results'!Q147", 38.72)</f>
        <v>38.72</v>
      </c>
      <c r="BL601" s="29">
        <f>HYPERLINK("[N&amp;P New retention.xlsx]'Lake P Results'!Q147", 41.48)</f>
        <v>41.48</v>
      </c>
      <c r="BM601" s="29">
        <f>HYPERLINK("[N&amp;P with New retention and Differentiation.xlsx]'Lake P Results'!Q147", 41.73)</f>
        <v>41.73</v>
      </c>
      <c r="BN601" s="46">
        <f>BL601-BK601</f>
        <v>2.759999999999998</v>
      </c>
      <c r="BO601" s="46">
        <f>BM601-BK601</f>
        <v>3.009999999999998</v>
      </c>
    </row>
    <row r="602" spans="1:67" x14ac:dyDescent="0.55000000000000004">
      <c r="A602" s="30">
        <v>440</v>
      </c>
      <c r="B602" s="6" t="s">
        <v>461</v>
      </c>
      <c r="C602" s="18"/>
      <c r="D602" s="18"/>
      <c r="E602" s="18"/>
      <c r="F602" s="18"/>
      <c r="G602" s="18"/>
      <c r="H602" s="26">
        <f>HYPERLINK("[N&amp;P Old retention.xlsx]'Lake P Results'!AM148", 61400)</f>
        <v>61400</v>
      </c>
      <c r="I602" s="26">
        <f>HYPERLINK("[N&amp;P New retention.xlsx]'Lake P Results'!AM148", 61400)</f>
        <v>61400</v>
      </c>
      <c r="J602" s="26">
        <f>HYPERLINK("[N&amp;P with New retention and Differentiation.xlsx]'Lake P Results'!AM148", 59400)</f>
        <v>59400</v>
      </c>
      <c r="K602" s="18"/>
      <c r="L602" s="21">
        <f>J602-H602</f>
        <v>-2000</v>
      </c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27">
        <f>HYPERLINK("[N&amp;P Old retention.xlsx]'Lake P Results'!O148", 3.98)</f>
        <v>3.98</v>
      </c>
      <c r="BB602" s="27">
        <f>HYPERLINK("[N&amp;P New retention.xlsx]'Lake P Results'!O148", 6.81)</f>
        <v>6.81</v>
      </c>
      <c r="BC602" s="27">
        <f>HYPERLINK("[N&amp;P with New retention and Differentiation.xlsx]'Lake P Results'!O148", 6.81)</f>
        <v>6.81</v>
      </c>
      <c r="BD602" s="46">
        <f>BB602-BA602</f>
        <v>2.8299999999999996</v>
      </c>
      <c r="BE602" s="46">
        <f>BC602-BA602</f>
        <v>2.8299999999999996</v>
      </c>
      <c r="BF602" s="27">
        <f>HYPERLINK("[N&amp;P Old retention.xlsx]'Lake P Results'!R148", 53.7)</f>
        <v>53.7</v>
      </c>
      <c r="BG602" s="18"/>
      <c r="BH602" s="18"/>
      <c r="BI602" s="47">
        <f>BG602-BF602</f>
        <v>-53.7</v>
      </c>
      <c r="BJ602" s="47">
        <f>BH602-BF602</f>
        <v>-53.7</v>
      </c>
      <c r="BK602" s="27">
        <f>HYPERLINK("[N&amp;P Old retention.xlsx]'Lake P Results'!Q148", 92.516)</f>
        <v>92.516000000000005</v>
      </c>
      <c r="BL602" s="27">
        <f>HYPERLINK("[N&amp;P New retention.xlsx]'Lake P Results'!Q148", 45.576)</f>
        <v>45.576000000000001</v>
      </c>
      <c r="BM602" s="27">
        <f>HYPERLINK("[N&amp;P with New retention and Differentiation.xlsx]'Lake P Results'!Q148", 58.856)</f>
        <v>58.856000000000002</v>
      </c>
      <c r="BN602" s="47">
        <f>BL602-BK602</f>
        <v>-46.940000000000005</v>
      </c>
      <c r="BO602" s="47">
        <f>BM602-BK602</f>
        <v>-33.660000000000004</v>
      </c>
    </row>
    <row r="603" spans="1:67" x14ac:dyDescent="0.55000000000000004">
      <c r="A603" s="31">
        <v>443</v>
      </c>
      <c r="B603" s="5" t="s">
        <v>462</v>
      </c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29">
        <f>HYPERLINK("[N&amp;P Old retention.xlsx]'Lake P Results'!O149", 16.15)</f>
        <v>16.149999999999999</v>
      </c>
      <c r="BB603" s="29">
        <f>HYPERLINK("[N&amp;P New retention.xlsx]'Lake P Results'!O149", 4.86)</f>
        <v>4.8600000000000003</v>
      </c>
      <c r="BC603" s="29">
        <f>HYPERLINK("[N&amp;P with New retention and Differentiation.xlsx]'Lake P Results'!O149", 4.86)</f>
        <v>4.8600000000000003</v>
      </c>
      <c r="BD603" s="47">
        <f>BB603-BA603</f>
        <v>-11.29</v>
      </c>
      <c r="BE603" s="47">
        <f>BC603-BA603</f>
        <v>-11.29</v>
      </c>
      <c r="BF603" s="29">
        <f>HYPERLINK("[N&amp;P Old retention.xlsx]'Lake P Results'!R149", 1.22)</f>
        <v>1.22</v>
      </c>
      <c r="BG603" s="29">
        <f>HYPERLINK("[N&amp;P New retention.xlsx]'Lake P Results'!R149", 38.17)</f>
        <v>38.17</v>
      </c>
      <c r="BH603" s="29">
        <f>HYPERLINK("[N&amp;P with New retention and Differentiation.xlsx]'Lake P Results'!R149", 40.83)</f>
        <v>40.83</v>
      </c>
      <c r="BI603" s="46">
        <f>BG603-BF603</f>
        <v>36.950000000000003</v>
      </c>
      <c r="BJ603" s="46">
        <f>BH603-BF603</f>
        <v>39.61</v>
      </c>
      <c r="BK603" s="29">
        <f>HYPERLINK("[N&amp;P Old retention.xlsx]'Lake P Results'!Q149", 3.25)</f>
        <v>3.25</v>
      </c>
      <c r="BL603" s="29">
        <f>HYPERLINK("[N&amp;P New retention.xlsx]'Lake P Results'!Q149", 3.25)</f>
        <v>3.25</v>
      </c>
      <c r="BM603" s="29">
        <f>HYPERLINK("[N&amp;P with New retention and Differentiation.xlsx]'Lake P Results'!Q149", 3.25)</f>
        <v>3.25</v>
      </c>
      <c r="BN603" s="13"/>
      <c r="BO603" s="13"/>
    </row>
    <row r="604" spans="1:67" x14ac:dyDescent="0.55000000000000004">
      <c r="A604" s="30">
        <v>444</v>
      </c>
      <c r="B604" s="6" t="s">
        <v>463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27">
        <f>HYPERLINK("[N&amp;P Old retention.xlsx]'Lake P Results'!O150", 810.238)</f>
        <v>810.23800000000006</v>
      </c>
      <c r="BB604" s="27">
        <f>HYPERLINK("[N&amp;P New retention.xlsx]'Lake P Results'!O150", 771.678)</f>
        <v>771.678</v>
      </c>
      <c r="BC604" s="27">
        <f>HYPERLINK("[N&amp;P with New retention and Differentiation.xlsx]'Lake P Results'!O150", 742.598)</f>
        <v>742.59799999999996</v>
      </c>
      <c r="BD604" s="47">
        <f>BB604-BA604</f>
        <v>-38.560000000000059</v>
      </c>
      <c r="BE604" s="47">
        <f>BC604-BA604</f>
        <v>-67.6400000000001</v>
      </c>
      <c r="BF604" s="27">
        <f>HYPERLINK("[N&amp;P Old retention.xlsx]'Lake P Results'!R150", 14.154)</f>
        <v>14.154</v>
      </c>
      <c r="BG604" s="27">
        <f>HYPERLINK("[N&amp;P New retention.xlsx]'Lake P Results'!R150", 47.892)</f>
        <v>47.892000000000003</v>
      </c>
      <c r="BH604" s="27">
        <f>HYPERLINK("[N&amp;P with New retention and Differentiation.xlsx]'Lake P Results'!R150", 48.142)</f>
        <v>48.142000000000003</v>
      </c>
      <c r="BI604" s="46">
        <f>BG604-BF604</f>
        <v>33.738</v>
      </c>
      <c r="BJ604" s="46">
        <f>BH604-BF604</f>
        <v>33.988</v>
      </c>
      <c r="BK604" s="27">
        <f>HYPERLINK("[N&amp;P Old retention.xlsx]'Lake P Results'!Q150", 89.6868713692946)</f>
        <v>89.686871369294593</v>
      </c>
      <c r="BL604" s="27">
        <f>HYPERLINK("[N&amp;P New retention.xlsx]'Lake P Results'!Q150", 110.806871369295)</f>
        <v>110.806871369295</v>
      </c>
      <c r="BM604" s="27">
        <f>HYPERLINK("[N&amp;P with New retention and Differentiation.xlsx]'Lake P Results'!Q150", 115.696871369295)</f>
        <v>115.696871369295</v>
      </c>
      <c r="BN604" s="46">
        <f>BL604-BK604</f>
        <v>21.120000000000402</v>
      </c>
      <c r="BO604" s="46">
        <f>BM604-BK604</f>
        <v>26.010000000000403</v>
      </c>
    </row>
    <row r="605" spans="1:67" x14ac:dyDescent="0.55000000000000004">
      <c r="A605" s="31">
        <v>446</v>
      </c>
      <c r="B605" s="5" t="s">
        <v>464</v>
      </c>
      <c r="C605" s="13"/>
      <c r="D605" s="13"/>
      <c r="E605" s="13"/>
      <c r="F605" s="13"/>
      <c r="G605" s="13"/>
      <c r="H605" s="28">
        <f>HYPERLINK("[N&amp;P Old retention.xlsx]'Lake P Results'!AM151", 17300)</f>
        <v>17300</v>
      </c>
      <c r="I605" s="28">
        <f>HYPERLINK("[N&amp;P New retention.xlsx]'Lake P Results'!AM151", 18300)</f>
        <v>18300</v>
      </c>
      <c r="J605" s="28">
        <f>HYPERLINK("[N&amp;P with New retention and Differentiation.xlsx]'Lake P Results'!AM151", 18900)</f>
        <v>18900</v>
      </c>
      <c r="K605" s="16">
        <f>I605-H605</f>
        <v>1000</v>
      </c>
      <c r="L605" s="16">
        <f>J605-H605</f>
        <v>1600</v>
      </c>
      <c r="M605" s="29">
        <f>HYPERLINK("[N&amp;P Old retention.xlsx]'Lake P Results'!AC151", 3.464)</f>
        <v>3.464</v>
      </c>
      <c r="N605" s="29">
        <f>HYPERLINK("[N&amp;P New retention.xlsx]'Lake P Results'!AC151", 3.604)</f>
        <v>3.6040000000000001</v>
      </c>
      <c r="O605" s="29">
        <f>HYPERLINK("[N&amp;P with New retention and Differentiation.xlsx]'Lake P Results'!AC151", 1.78)</f>
        <v>1.78</v>
      </c>
      <c r="P605" s="46">
        <f>N605-M605</f>
        <v>0.14000000000000012</v>
      </c>
      <c r="Q605" s="47">
        <f>O605-M605</f>
        <v>-1.6839999999999999</v>
      </c>
      <c r="R605" s="13"/>
      <c r="S605" s="13"/>
      <c r="T605" s="13"/>
      <c r="U605" s="13"/>
      <c r="V605" s="13"/>
      <c r="W605" s="29">
        <f>HYPERLINK("[N&amp;P Old retention.xlsx]'Lake P Results'!V151", 0.784)</f>
        <v>0.78400000000000003</v>
      </c>
      <c r="X605" s="13"/>
      <c r="Y605" s="13"/>
      <c r="Z605" s="47">
        <f>X605-W605</f>
        <v>-0.78400000000000003</v>
      </c>
      <c r="AA605" s="47">
        <f>Y605-W605</f>
        <v>-0.78400000000000003</v>
      </c>
      <c r="AB605" s="13"/>
      <c r="AC605" s="13"/>
      <c r="AD605" s="13"/>
      <c r="AE605" s="13"/>
      <c r="AF605" s="13"/>
      <c r="AG605" s="29">
        <f>HYPERLINK("[N&amp;P Old retention.xlsx]'Lake P Results'!AA151", 9.684)</f>
        <v>9.6839999999999993</v>
      </c>
      <c r="AH605" s="29">
        <f>HYPERLINK("[N&amp;P New retention.xlsx]'Lake P Results'!AA151", 9.858)</f>
        <v>9.8580000000000005</v>
      </c>
      <c r="AI605" s="29">
        <f>HYPERLINK("[N&amp;P with New retention and Differentiation.xlsx]'Lake P Results'!AA151", 9.858)</f>
        <v>9.8580000000000005</v>
      </c>
      <c r="AJ605" s="46">
        <f>AH605-AG605</f>
        <v>0.17400000000000126</v>
      </c>
      <c r="AK605" s="46">
        <f>AI605-AG605</f>
        <v>0.17400000000000126</v>
      </c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29">
        <f>HYPERLINK("[N&amp;P Old retention.xlsx]'Lake P Results'!M151", 96.538)</f>
        <v>96.537999999999997</v>
      </c>
      <c r="AW605" s="29">
        <f>HYPERLINK("[N&amp;P New retention.xlsx]'Lake P Results'!M151", 27.2)</f>
        <v>27.2</v>
      </c>
      <c r="AX605" s="29">
        <f>HYPERLINK("[N&amp;P with New retention and Differentiation.xlsx]'Lake P Results'!M151", 27.2)</f>
        <v>27.2</v>
      </c>
      <c r="AY605" s="47">
        <f>AW605-AV605</f>
        <v>-69.337999999999994</v>
      </c>
      <c r="AZ605" s="47">
        <f>AX605-AV605</f>
        <v>-69.337999999999994</v>
      </c>
      <c r="BA605" s="29">
        <f>HYPERLINK("[N&amp;P Old retention.xlsx]'Lake P Results'!O151", 49.28)</f>
        <v>49.28</v>
      </c>
      <c r="BB605" s="13"/>
      <c r="BC605" s="13"/>
      <c r="BD605" s="47">
        <f>BB605-BA605</f>
        <v>-49.28</v>
      </c>
      <c r="BE605" s="47">
        <f>BC605-BA605</f>
        <v>-49.28</v>
      </c>
      <c r="BF605" s="13"/>
      <c r="BG605" s="13"/>
      <c r="BH605" s="13"/>
      <c r="BI605" s="13"/>
      <c r="BJ605" s="13"/>
      <c r="BK605" s="29">
        <f>HYPERLINK("[N&amp;P Old retention.xlsx]'Lake P Results'!Q151", 19.8)</f>
        <v>19.8</v>
      </c>
      <c r="BL605" s="29">
        <f>HYPERLINK("[N&amp;P New retention.xlsx]'Lake P Results'!Q151", 15.28)</f>
        <v>15.28</v>
      </c>
      <c r="BM605" s="29">
        <f>HYPERLINK("[N&amp;P with New retention and Differentiation.xlsx]'Lake P Results'!Q151", 15.28)</f>
        <v>15.28</v>
      </c>
      <c r="BN605" s="47">
        <f>BL605-BK605</f>
        <v>-4.5200000000000014</v>
      </c>
      <c r="BO605" s="47">
        <f>BM605-BK605</f>
        <v>-4.5200000000000014</v>
      </c>
    </row>
    <row r="606" spans="1:67" x14ac:dyDescent="0.55000000000000004">
      <c r="A606" s="30">
        <v>447</v>
      </c>
      <c r="B606" s="6" t="s">
        <v>465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27">
        <f>HYPERLINK("[N&amp;P Old retention.xlsx]'Lake P Results'!Q152", 0.0900000000000001)</f>
        <v>9.0000000000000094E-2</v>
      </c>
      <c r="BL606" s="18"/>
      <c r="BM606" s="18"/>
      <c r="BN606" s="47">
        <f>BL606-BK606</f>
        <v>-9.0000000000000094E-2</v>
      </c>
      <c r="BO606" s="47">
        <f>BM606-BK606</f>
        <v>-9.0000000000000094E-2</v>
      </c>
    </row>
    <row r="607" spans="1:67" x14ac:dyDescent="0.55000000000000004">
      <c r="A607" s="31">
        <v>448</v>
      </c>
      <c r="B607" s="5" t="s">
        <v>466</v>
      </c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</row>
    <row r="608" spans="1:67" x14ac:dyDescent="0.55000000000000004">
      <c r="A608" s="30">
        <v>450</v>
      </c>
      <c r="B608" s="6" t="s">
        <v>467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</row>
    <row r="609" spans="1:67" x14ac:dyDescent="0.55000000000000004">
      <c r="A609" s="31">
        <v>451</v>
      </c>
      <c r="B609" s="5" t="s">
        <v>468</v>
      </c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</row>
    <row r="610" spans="1:67" x14ac:dyDescent="0.55000000000000004">
      <c r="A610" s="30">
        <v>453</v>
      </c>
      <c r="B610" s="6" t="s">
        <v>469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27">
        <f>HYPERLINK("[N&amp;P Old retention.xlsx]'Lake P Results'!Q156", 0.164)</f>
        <v>0.16400000000000001</v>
      </c>
      <c r="BL610" s="27">
        <f>HYPERLINK("[N&amp;P New retention.xlsx]'Lake P Results'!Q156", 0.164)</f>
        <v>0.16400000000000001</v>
      </c>
      <c r="BM610" s="27">
        <f>HYPERLINK("[N&amp;P with New retention and Differentiation.xlsx]'Lake P Results'!Q156", 0.164)</f>
        <v>0.16400000000000001</v>
      </c>
      <c r="BN610" s="18"/>
      <c r="BO610" s="18"/>
    </row>
    <row r="611" spans="1:67" x14ac:dyDescent="0.55000000000000004">
      <c r="A611" s="31">
        <v>455</v>
      </c>
      <c r="B611" s="5" t="s">
        <v>470</v>
      </c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</row>
    <row r="612" spans="1:67" x14ac:dyDescent="0.55000000000000004">
      <c r="A612" s="30">
        <v>456</v>
      </c>
      <c r="B612" s="6" t="s">
        <v>471</v>
      </c>
      <c r="C612" s="27">
        <f>HYPERLINK("[N&amp;P Old retention.xlsx]'Lake P Results'!AE158", 32.128)</f>
        <v>32.128</v>
      </c>
      <c r="D612" s="27">
        <f>HYPERLINK("[N&amp;P New retention.xlsx]'Lake P Results'!AE158", 32.128)</f>
        <v>32.128</v>
      </c>
      <c r="E612" s="27">
        <f>HYPERLINK("[N&amp;P with New retention and Differentiation.xlsx]'Lake P Results'!AE158", 32.128)</f>
        <v>32.128</v>
      </c>
      <c r="F612" s="18"/>
      <c r="G612" s="18"/>
      <c r="H612" s="26">
        <f>HYPERLINK("[N&amp;P Old retention.xlsx]'Lake P Results'!AM158", 351400)</f>
        <v>351400</v>
      </c>
      <c r="I612" s="26">
        <f>HYPERLINK("[N&amp;P New retention.xlsx]'Lake P Results'!AM158", 351400)</f>
        <v>351400</v>
      </c>
      <c r="J612" s="26">
        <f>HYPERLINK("[N&amp;P with New retention and Differentiation.xlsx]'Lake P Results'!AM158", 351400)</f>
        <v>351400</v>
      </c>
      <c r="K612" s="18"/>
      <c r="L612" s="18"/>
      <c r="M612" s="27">
        <f>HYPERLINK("[N&amp;P Old retention.xlsx]'Lake P Results'!AC158", 623.732)</f>
        <v>623.73199999999997</v>
      </c>
      <c r="N612" s="27">
        <f>HYPERLINK("[N&amp;P New retention.xlsx]'Lake P Results'!AC158", 547.424)</f>
        <v>547.42399999999998</v>
      </c>
      <c r="O612" s="27">
        <f>HYPERLINK("[N&amp;P with New retention and Differentiation.xlsx]'Lake P Results'!AC158", 568.308)</f>
        <v>568.30799999999999</v>
      </c>
      <c r="P612" s="47">
        <f>N612-M612</f>
        <v>-76.307999999999993</v>
      </c>
      <c r="Q612" s="47">
        <f>O612-M612</f>
        <v>-55.423999999999978</v>
      </c>
      <c r="R612" s="27">
        <f>HYPERLINK("[N&amp;P Old retention.xlsx]'Lake P Results'!Y158", 222.768)</f>
        <v>222.768</v>
      </c>
      <c r="S612" s="27">
        <f>HYPERLINK("[N&amp;P New retention.xlsx]'Lake P Results'!Y158", 237.206)</f>
        <v>237.20599999999999</v>
      </c>
      <c r="T612" s="27">
        <f>HYPERLINK("[N&amp;P with New retention and Differentiation.xlsx]'Lake P Results'!Y158", 235.02)</f>
        <v>235.02</v>
      </c>
      <c r="U612" s="46">
        <f>S612-R612</f>
        <v>14.437999999999988</v>
      </c>
      <c r="V612" s="46">
        <f>T612-R612</f>
        <v>12.25200000000001</v>
      </c>
      <c r="W612" s="27">
        <f>HYPERLINK("[N&amp;P Old retention.xlsx]'Lake P Results'!V158", 898.814)</f>
        <v>898.81399999999996</v>
      </c>
      <c r="X612" s="27">
        <f>HYPERLINK("[N&amp;P New retention.xlsx]'Lake P Results'!V158", 898.814)</f>
        <v>898.81399999999996</v>
      </c>
      <c r="Y612" s="27">
        <f>HYPERLINK("[N&amp;P with New retention and Differentiation.xlsx]'Lake P Results'!V158", 898.814)</f>
        <v>898.81399999999996</v>
      </c>
      <c r="Z612" s="18"/>
      <c r="AA612" s="18"/>
      <c r="AB612" s="27">
        <f>HYPERLINK("[N&amp;P Old retention.xlsx]'Lake P Results'!Z158", 238.484)</f>
        <v>238.48400000000001</v>
      </c>
      <c r="AC612" s="27">
        <f>HYPERLINK("[N&amp;P New retention.xlsx]'Lake P Results'!Z158", 300.354)</f>
        <v>300.35399999999998</v>
      </c>
      <c r="AD612" s="27">
        <f>HYPERLINK("[N&amp;P with New retention and Differentiation.xlsx]'Lake P Results'!Z158", 281.656)</f>
        <v>281.65600000000001</v>
      </c>
      <c r="AE612" s="46">
        <f>AC612-AB612</f>
        <v>61.869999999999976</v>
      </c>
      <c r="AF612" s="46">
        <f>AD612-AB612</f>
        <v>43.171999999999997</v>
      </c>
      <c r="AG612" s="27">
        <f>HYPERLINK("[N&amp;P Old retention.xlsx]'Lake P Results'!AA158", 34.654)</f>
        <v>34.654000000000003</v>
      </c>
      <c r="AH612" s="27">
        <f>HYPERLINK("[N&amp;P New retention.xlsx]'Lake P Results'!AA158", 34.654)</f>
        <v>34.654000000000003</v>
      </c>
      <c r="AI612" s="27">
        <f>HYPERLINK("[N&amp;P with New retention and Differentiation.xlsx]'Lake P Results'!AA158", 34.654)</f>
        <v>34.654000000000003</v>
      </c>
      <c r="AJ612" s="18"/>
      <c r="AK612" s="18"/>
      <c r="AL612" s="27">
        <f>HYPERLINK("[N&amp;P Old retention.xlsx]'Lake P Results'!AF158", 3.81)</f>
        <v>3.81</v>
      </c>
      <c r="AM612" s="27">
        <f>HYPERLINK("[N&amp;P New retention.xlsx]'Lake P Results'!AF158", 3.81)</f>
        <v>3.81</v>
      </c>
      <c r="AN612" s="27">
        <f>HYPERLINK("[N&amp;P with New retention and Differentiation.xlsx]'Lake P Results'!AF158", 3.81)</f>
        <v>3.81</v>
      </c>
      <c r="AO612" s="18"/>
      <c r="AP612" s="18"/>
      <c r="AQ612" s="26">
        <f>HYPERLINK("[N&amp;P Old retention.xlsx]'Lake P Results'!AH158", 11069.9999999924)</f>
        <v>11069.9999999924</v>
      </c>
      <c r="AR612" s="26">
        <f>HYPERLINK("[N&amp;P New retention.xlsx]'Lake P Results'!AH158", 11069.9999999956)</f>
        <v>11069.9999999956</v>
      </c>
      <c r="AS612" s="26">
        <f>HYPERLINK("[N&amp;P with New retention and Differentiation.xlsx]'Lake P Results'!AH158", 11069.9999999956)</f>
        <v>11069.9999999956</v>
      </c>
      <c r="AT612" s="16">
        <f>AR612-AQ612</f>
        <v>3.1996023608371615E-9</v>
      </c>
      <c r="AU612" s="16">
        <f>AS612-AQ612</f>
        <v>3.1996023608371615E-9</v>
      </c>
      <c r="AV612" s="27">
        <f>HYPERLINK("[N&amp;P Old retention.xlsx]'Lake P Results'!M158", 10279.57)</f>
        <v>10279.57</v>
      </c>
      <c r="AW612" s="27">
        <f>HYPERLINK("[N&amp;P New retention.xlsx]'Lake P Results'!M158", 10299.956)</f>
        <v>10299.956</v>
      </c>
      <c r="AX612" s="27">
        <f>HYPERLINK("[N&amp;P with New retention and Differentiation.xlsx]'Lake P Results'!M158", 10299.956)</f>
        <v>10299.956</v>
      </c>
      <c r="AY612" s="46">
        <f>AW612-AV612</f>
        <v>20.386000000000422</v>
      </c>
      <c r="AZ612" s="46">
        <f>AX612-AV612</f>
        <v>20.386000000000422</v>
      </c>
      <c r="BA612" s="27">
        <f>HYPERLINK("[N&amp;P Old retention.xlsx]'Lake P Results'!O158", 1467.96249279779)</f>
        <v>1467.96249279779</v>
      </c>
      <c r="BB612" s="27">
        <f>HYPERLINK("[N&amp;P New retention.xlsx]'Lake P Results'!O158", 1467.96249279779)</f>
        <v>1467.96249279779</v>
      </c>
      <c r="BC612" s="27">
        <f>HYPERLINK("[N&amp;P with New retention and Differentiation.xlsx]'Lake P Results'!O158", 1467.96249279779)</f>
        <v>1467.96249279779</v>
      </c>
      <c r="BD612" s="18"/>
      <c r="BE612" s="18"/>
      <c r="BF612" s="18"/>
      <c r="BG612" s="18"/>
      <c r="BH612" s="18"/>
      <c r="BI612" s="18"/>
      <c r="BJ612" s="18"/>
      <c r="BK612" s="27">
        <f>HYPERLINK("[N&amp;P Old retention.xlsx]'Lake P Results'!Q158", 1.12)</f>
        <v>1.1200000000000001</v>
      </c>
      <c r="BL612" s="27">
        <f>HYPERLINK("[N&amp;P New retention.xlsx]'Lake P Results'!Q158", 1.39)</f>
        <v>1.39</v>
      </c>
      <c r="BM612" s="27">
        <f>HYPERLINK("[N&amp;P with New retention and Differentiation.xlsx]'Lake P Results'!Q158", 1.39)</f>
        <v>1.39</v>
      </c>
      <c r="BN612" s="46">
        <f>BL612-BK612</f>
        <v>0.2699999999999998</v>
      </c>
      <c r="BO612" s="46">
        <f>BM612-BK612</f>
        <v>0.2699999999999998</v>
      </c>
    </row>
    <row r="613" spans="1:67" x14ac:dyDescent="0.55000000000000004">
      <c r="A613" s="31">
        <v>458</v>
      </c>
      <c r="B613" s="5" t="s">
        <v>472</v>
      </c>
      <c r="C613" s="29">
        <f>HYPERLINK("[N&amp;P Old retention.xlsx]'Lake P Results'!AE159", 1.102)</f>
        <v>1.1020000000000001</v>
      </c>
      <c r="D613" s="29">
        <f>HYPERLINK("[N&amp;P New retention.xlsx]'Lake P Results'!AE159", 1.102)</f>
        <v>1.1020000000000001</v>
      </c>
      <c r="E613" s="29">
        <f>HYPERLINK("[N&amp;P with New retention and Differentiation.xlsx]'Lake P Results'!AE159", 1.102)</f>
        <v>1.1020000000000001</v>
      </c>
      <c r="F613" s="13"/>
      <c r="G613" s="13"/>
      <c r="H613" s="28">
        <f>HYPERLINK("[N&amp;P Old retention.xlsx]'Lake P Results'!AM159", 17600)</f>
        <v>17600</v>
      </c>
      <c r="I613" s="28">
        <f>HYPERLINK("[N&amp;P New retention.xlsx]'Lake P Results'!AM159", 17700)</f>
        <v>17700</v>
      </c>
      <c r="J613" s="28">
        <f>HYPERLINK("[N&amp;P with New retention and Differentiation.xlsx]'Lake P Results'!AM159", 17700)</f>
        <v>17700</v>
      </c>
      <c r="K613" s="16">
        <f>I613-H613</f>
        <v>100</v>
      </c>
      <c r="L613" s="16">
        <f>J613-H613</f>
        <v>100</v>
      </c>
      <c r="M613" s="29">
        <f>HYPERLINK("[N&amp;P Old retention.xlsx]'Lake P Results'!AC159", 409.936)</f>
        <v>409.93599999999998</v>
      </c>
      <c r="N613" s="29">
        <f>HYPERLINK("[N&amp;P New retention.xlsx]'Lake P Results'!AC159", 388.544)</f>
        <v>388.54399999999998</v>
      </c>
      <c r="O613" s="29">
        <f>HYPERLINK("[N&amp;P with New retention and Differentiation.xlsx]'Lake P Results'!AC159", 364.714)</f>
        <v>364.714</v>
      </c>
      <c r="P613" s="47">
        <f>N613-M613</f>
        <v>-21.391999999999996</v>
      </c>
      <c r="Q613" s="47">
        <f>O613-M613</f>
        <v>-45.22199999999998</v>
      </c>
      <c r="R613" s="29">
        <f>HYPERLINK("[N&amp;P Old retention.xlsx]'Lake P Results'!Y159", 94.758)</f>
        <v>94.757999999999996</v>
      </c>
      <c r="S613" s="29">
        <f>HYPERLINK("[N&amp;P New retention.xlsx]'Lake P Results'!Y159", 131.688)</f>
        <v>131.68799999999999</v>
      </c>
      <c r="T613" s="29">
        <f>HYPERLINK("[N&amp;P with New retention and Differentiation.xlsx]'Lake P Results'!Y159", 110.124)</f>
        <v>110.124</v>
      </c>
      <c r="U613" s="46">
        <f>S613-R613</f>
        <v>36.929999999999993</v>
      </c>
      <c r="V613" s="46">
        <f>T613-R613</f>
        <v>15.366</v>
      </c>
      <c r="W613" s="29">
        <f>HYPERLINK("[N&amp;P Old retention.xlsx]'Lake P Results'!V159", 228.17)</f>
        <v>228.17</v>
      </c>
      <c r="X613" s="29">
        <f>HYPERLINK("[N&amp;P New retention.xlsx]'Lake P Results'!V159", 228.17)</f>
        <v>228.17</v>
      </c>
      <c r="Y613" s="29">
        <f>HYPERLINK("[N&amp;P with New retention and Differentiation.xlsx]'Lake P Results'!V159", 235.96)</f>
        <v>235.96</v>
      </c>
      <c r="Z613" s="13"/>
      <c r="AA613" s="46">
        <f>Y613-W613</f>
        <v>7.7900000000000205</v>
      </c>
      <c r="AB613" s="29">
        <f>HYPERLINK("[N&amp;P Old retention.xlsx]'Lake P Results'!Z159", 118.248)</f>
        <v>118.248</v>
      </c>
      <c r="AC613" s="29">
        <f>HYPERLINK("[N&amp;P New retention.xlsx]'Lake P Results'!Z159", 104.39)</f>
        <v>104.39</v>
      </c>
      <c r="AD613" s="29">
        <f>HYPERLINK("[N&amp;P with New retention and Differentiation.xlsx]'Lake P Results'!Z159", 155.874)</f>
        <v>155.874</v>
      </c>
      <c r="AE613" s="47">
        <f>AC613-AB613</f>
        <v>-13.858000000000004</v>
      </c>
      <c r="AF613" s="46">
        <f>AD613-AB613</f>
        <v>37.625999999999991</v>
      </c>
      <c r="AG613" s="29">
        <f>HYPERLINK("[N&amp;P Old retention.xlsx]'Lake P Results'!AA159", 172.076)</f>
        <v>172.07599999999999</v>
      </c>
      <c r="AH613" s="29">
        <f>HYPERLINK("[N&amp;P New retention.xlsx]'Lake P Results'!AA159", 187.156)</f>
        <v>187.15600000000001</v>
      </c>
      <c r="AI613" s="29">
        <f>HYPERLINK("[N&amp;P with New retention and Differentiation.xlsx]'Lake P Results'!AA159", 184.216)</f>
        <v>184.21600000000001</v>
      </c>
      <c r="AJ613" s="46">
        <f>AH613-AG613</f>
        <v>15.080000000000013</v>
      </c>
      <c r="AK613" s="46">
        <f>AI613-AG613</f>
        <v>12.140000000000015</v>
      </c>
      <c r="AL613" s="13"/>
      <c r="AM613" s="13"/>
      <c r="AN613" s="13"/>
      <c r="AO613" s="13"/>
      <c r="AP613" s="13"/>
      <c r="AQ613" s="28">
        <f>HYPERLINK("[N&amp;P Old retention.xlsx]'Lake P Results'!AH159", 1120)</f>
        <v>1120</v>
      </c>
      <c r="AR613" s="28">
        <f>HYPERLINK("[N&amp;P New retention.xlsx]'Lake P Results'!AH159", 1120)</f>
        <v>1120</v>
      </c>
      <c r="AS613" s="28">
        <f>HYPERLINK("[N&amp;P with New retention and Differentiation.xlsx]'Lake P Results'!AH159", 1140)</f>
        <v>1140</v>
      </c>
      <c r="AT613" s="13"/>
      <c r="AU613" s="16">
        <f>AS613-AQ613</f>
        <v>20</v>
      </c>
      <c r="AV613" s="29">
        <f>HYPERLINK("[N&amp;P Old retention.xlsx]'Lake P Results'!M159", 124.6)</f>
        <v>124.6</v>
      </c>
      <c r="AW613" s="29">
        <f>HYPERLINK("[N&amp;P New retention.xlsx]'Lake P Results'!M159", 139.27)</f>
        <v>139.27000000000001</v>
      </c>
      <c r="AX613" s="29">
        <f>HYPERLINK("[N&amp;P with New retention and Differentiation.xlsx]'Lake P Results'!M159", 124.6)</f>
        <v>124.6</v>
      </c>
      <c r="AY613" s="46">
        <f>AW613-AV613</f>
        <v>14.670000000000016</v>
      </c>
      <c r="AZ613" s="13"/>
      <c r="BA613" s="29">
        <f>HYPERLINK("[N&amp;P Old retention.xlsx]'Lake P Results'!O159", 29.902)</f>
        <v>29.902000000000001</v>
      </c>
      <c r="BB613" s="29">
        <f>HYPERLINK("[N&amp;P New retention.xlsx]'Lake P Results'!O159", 24.652)</f>
        <v>24.652000000000001</v>
      </c>
      <c r="BC613" s="29">
        <f>HYPERLINK("[N&amp;P with New retention and Differentiation.xlsx]'Lake P Results'!O159", 18.372)</f>
        <v>18.372</v>
      </c>
      <c r="BD613" s="47">
        <f>BB613-BA613</f>
        <v>-5.25</v>
      </c>
      <c r="BE613" s="47">
        <f>BC613-BA613</f>
        <v>-11.530000000000001</v>
      </c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</row>
    <row r="614" spans="1:67" x14ac:dyDescent="0.55000000000000004">
      <c r="A614" s="30">
        <v>461</v>
      </c>
      <c r="B614" s="6" t="s">
        <v>473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</row>
    <row r="615" spans="1:67" x14ac:dyDescent="0.55000000000000004">
      <c r="A615" s="31">
        <v>462</v>
      </c>
      <c r="B615" s="5" t="s">
        <v>474</v>
      </c>
      <c r="C615" s="13"/>
      <c r="D615" s="13"/>
      <c r="E615" s="13"/>
      <c r="F615" s="13"/>
      <c r="G615" s="13"/>
      <c r="H615" s="28">
        <f>HYPERLINK("[N&amp;P Old retention.xlsx]'Lake P Results'!AM161", 300)</f>
        <v>300</v>
      </c>
      <c r="I615" s="28">
        <f>HYPERLINK("[N&amp;P New retention.xlsx]'Lake P Results'!AM161", 300)</f>
        <v>300</v>
      </c>
      <c r="J615" s="28">
        <f>HYPERLINK("[N&amp;P with New retention and Differentiation.xlsx]'Lake P Results'!AM161", 300)</f>
        <v>300</v>
      </c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29">
        <f>HYPERLINK("[N&amp;P Old retention.xlsx]'Lake P Results'!AA161", 11.14)</f>
        <v>11.14</v>
      </c>
      <c r="AH615" s="29">
        <f>HYPERLINK("[N&amp;P New retention.xlsx]'Lake P Results'!AA161", 11.14)</f>
        <v>11.14</v>
      </c>
      <c r="AI615" s="29">
        <f>HYPERLINK("[N&amp;P with New retention and Differentiation.xlsx]'Lake P Results'!AA161", 11.14)</f>
        <v>11.14</v>
      </c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</row>
    <row r="616" spans="1:67" x14ac:dyDescent="0.55000000000000004">
      <c r="A616" s="30">
        <v>469</v>
      </c>
      <c r="B616" s="6" t="s">
        <v>475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27">
        <f>HYPERLINK("[N&amp;P Old retention.xlsx]'Lake P Results'!M162", 37.068)</f>
        <v>37.067999999999998</v>
      </c>
      <c r="AW616" s="27">
        <f>HYPERLINK("[N&amp;P New retention.xlsx]'Lake P Results'!M162", 39.458)</f>
        <v>39.457999999999998</v>
      </c>
      <c r="AX616" s="27">
        <f>HYPERLINK("[N&amp;P with New retention and Differentiation.xlsx]'Lake P Results'!M162", 39.258)</f>
        <v>39.258000000000003</v>
      </c>
      <c r="AY616" s="46">
        <f>AW616-AV616</f>
        <v>2.3900000000000006</v>
      </c>
      <c r="AZ616" s="46">
        <f>AX616-AV616</f>
        <v>2.1900000000000048</v>
      </c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27">
        <f>HYPERLINK("[N&amp;P Old retention.xlsx]'Lake P Results'!Q162", 1.41)</f>
        <v>1.41</v>
      </c>
      <c r="BL616" s="27">
        <f>HYPERLINK("[N&amp;P New retention.xlsx]'Lake P Results'!Q162", 2.00395348837209)</f>
        <v>2.00395348837209</v>
      </c>
      <c r="BM616" s="27">
        <f>HYPERLINK("[N&amp;P with New retention and Differentiation.xlsx]'Lake P Results'!Q162", 2.00395348837209)</f>
        <v>2.00395348837209</v>
      </c>
      <c r="BN616" s="46">
        <f>BL616-BK616</f>
        <v>0.59395348837209005</v>
      </c>
      <c r="BO616" s="46">
        <f>BM616-BK616</f>
        <v>0.59395348837209005</v>
      </c>
    </row>
    <row r="617" spans="1:67" x14ac:dyDescent="0.55000000000000004">
      <c r="A617" s="31">
        <v>470</v>
      </c>
      <c r="B617" s="5" t="s">
        <v>476</v>
      </c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29">
        <f>HYPERLINK("[N&amp;P Old retention.xlsx]'Lake P Results'!Q163", 0.0599999999999999)</f>
        <v>5.9999999999999901E-2</v>
      </c>
      <c r="BL617" s="13"/>
      <c r="BM617" s="13"/>
      <c r="BN617" s="47">
        <f>BL617-BK617</f>
        <v>-5.9999999999999901E-2</v>
      </c>
      <c r="BO617" s="47">
        <f>BM617-BK617</f>
        <v>-5.9999999999999901E-2</v>
      </c>
    </row>
    <row r="618" spans="1:67" x14ac:dyDescent="0.55000000000000004">
      <c r="A618" s="30">
        <v>471</v>
      </c>
      <c r="B618" s="6" t="s">
        <v>477</v>
      </c>
      <c r="C618" s="18"/>
      <c r="D618" s="18"/>
      <c r="E618" s="18"/>
      <c r="F618" s="18"/>
      <c r="G618" s="18"/>
      <c r="H618" s="26">
        <f>HYPERLINK("[N&amp;P Old retention.xlsx]'Lake P Results'!AM164", 16600)</f>
        <v>16600</v>
      </c>
      <c r="I618" s="26">
        <f>HYPERLINK("[N&amp;P New retention.xlsx]'Lake P Results'!AM164", 16600)</f>
        <v>16600</v>
      </c>
      <c r="J618" s="26">
        <f>HYPERLINK("[N&amp;P with New retention and Differentiation.xlsx]'Lake P Results'!AM164", 16600)</f>
        <v>16600</v>
      </c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27">
        <f>HYPERLINK("[N&amp;P Old retention.xlsx]'Lake P Results'!V164", 4.13)</f>
        <v>4.13</v>
      </c>
      <c r="X618" s="27">
        <f>HYPERLINK("[N&amp;P New retention.xlsx]'Lake P Results'!V164", 4.13)</f>
        <v>4.13</v>
      </c>
      <c r="Y618" s="27">
        <f>HYPERLINK("[N&amp;P with New retention and Differentiation.xlsx]'Lake P Results'!V164", 4.13)</f>
        <v>4.13</v>
      </c>
      <c r="Z618" s="18"/>
      <c r="AA618" s="18"/>
      <c r="AB618" s="18"/>
      <c r="AC618" s="18"/>
      <c r="AD618" s="18"/>
      <c r="AE618" s="18"/>
      <c r="AF618" s="18"/>
      <c r="AG618" s="27">
        <f>HYPERLINK("[N&amp;P Old retention.xlsx]'Lake P Results'!AA164", 1.59)</f>
        <v>1.59</v>
      </c>
      <c r="AH618" s="27">
        <f>HYPERLINK("[N&amp;P New retention.xlsx]'Lake P Results'!AA164", 1.59)</f>
        <v>1.59</v>
      </c>
      <c r="AI618" s="27">
        <f>HYPERLINK("[N&amp;P with New retention and Differentiation.xlsx]'Lake P Results'!AA164", 1.59)</f>
        <v>1.59</v>
      </c>
      <c r="AJ618" s="18"/>
      <c r="AK618" s="18"/>
      <c r="AL618" s="18"/>
      <c r="AM618" s="18"/>
      <c r="AN618" s="18"/>
      <c r="AO618" s="18"/>
      <c r="AP618" s="18"/>
      <c r="AQ618" s="26">
        <f>HYPERLINK("[N&amp;P Old retention.xlsx]'Lake P Results'!AH164", 110)</f>
        <v>110</v>
      </c>
      <c r="AR618" s="26">
        <f>HYPERLINK("[N&amp;P New retention.xlsx]'Lake P Results'!AH164", 110)</f>
        <v>110</v>
      </c>
      <c r="AS618" s="26">
        <f>HYPERLINK("[N&amp;P with New retention and Differentiation.xlsx]'Lake P Results'!AH164", 110)</f>
        <v>110</v>
      </c>
      <c r="AT618" s="18"/>
      <c r="AU618" s="18"/>
      <c r="AV618" s="27">
        <f>HYPERLINK("[N&amp;P Old retention.xlsx]'Lake P Results'!M164", 146.15)</f>
        <v>146.15</v>
      </c>
      <c r="AW618" s="27">
        <f>HYPERLINK("[N&amp;P New retention.xlsx]'Lake P Results'!M164", 146.15)</f>
        <v>146.15</v>
      </c>
      <c r="AX618" s="27">
        <f>HYPERLINK("[N&amp;P with New retention and Differentiation.xlsx]'Lake P Results'!M164", 146.15)</f>
        <v>146.15</v>
      </c>
      <c r="AY618" s="18"/>
      <c r="AZ618" s="18"/>
      <c r="BA618" s="27">
        <f>HYPERLINK("[N&amp;P Old retention.xlsx]'Lake P Results'!O164", 4.526)</f>
        <v>4.5259999999999998</v>
      </c>
      <c r="BB618" s="27">
        <f>HYPERLINK("[N&amp;P New retention.xlsx]'Lake P Results'!O164", 4.526)</f>
        <v>4.5259999999999998</v>
      </c>
      <c r="BC618" s="27">
        <f>HYPERLINK("[N&amp;P with New retention and Differentiation.xlsx]'Lake P Results'!O164", 4.526)</f>
        <v>4.5259999999999998</v>
      </c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</row>
    <row r="619" spans="1:67" x14ac:dyDescent="0.55000000000000004">
      <c r="A619" s="31">
        <v>472</v>
      </c>
      <c r="B619" s="5" t="s">
        <v>478</v>
      </c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29">
        <f>HYPERLINK("[N&amp;P New retention.xlsx]'Lake P Results'!M165", 7.14)</f>
        <v>7.14</v>
      </c>
      <c r="AX619" s="29">
        <f>HYPERLINK("[N&amp;P with New retention and Differentiation.xlsx]'Lake P Results'!M165", 7.14)</f>
        <v>7.14</v>
      </c>
      <c r="AY619" s="46">
        <f>AW619-AV619</f>
        <v>7.14</v>
      </c>
      <c r="AZ619" s="46">
        <f>AX619-AV619</f>
        <v>7.14</v>
      </c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29">
        <f>HYPERLINK("[N&amp;P Old retention.xlsx]'Lake P Results'!Q165", 0.140000000000001)</f>
        <v>0.14000000000000101</v>
      </c>
      <c r="BL619" s="29">
        <f>HYPERLINK("[N&amp;P New retention.xlsx]'Lake P Results'!Q165", 0.140000000000001)</f>
        <v>0.14000000000000101</v>
      </c>
      <c r="BM619" s="29">
        <f>HYPERLINK("[N&amp;P with New retention and Differentiation.xlsx]'Lake P Results'!Q165", 0.140000000000001)</f>
        <v>0.14000000000000101</v>
      </c>
      <c r="BN619" s="13"/>
      <c r="BO619" s="13"/>
    </row>
    <row r="620" spans="1:67" x14ac:dyDescent="0.55000000000000004">
      <c r="A620" s="30">
        <v>473</v>
      </c>
      <c r="B620" s="6" t="s">
        <v>479</v>
      </c>
      <c r="C620" s="27">
        <f>HYPERLINK("[N&amp;P Old retention.xlsx]'Lake P Results'!AE166", 5.63000000000001)</f>
        <v>5.6300000000000097</v>
      </c>
      <c r="D620" s="27">
        <f>HYPERLINK("[N&amp;P New retention.xlsx]'Lake P Results'!AE166", 5.63000000000001)</f>
        <v>5.6300000000000097</v>
      </c>
      <c r="E620" s="27">
        <f>HYPERLINK("[N&amp;P with New retention and Differentiation.xlsx]'Lake P Results'!AE166", 5.63000000000001)</f>
        <v>5.6300000000000097</v>
      </c>
      <c r="F620" s="18"/>
      <c r="G620" s="18"/>
      <c r="H620" s="26">
        <f>HYPERLINK("[N&amp;P Old retention.xlsx]'Lake P Results'!AM166", 43500)</f>
        <v>43500</v>
      </c>
      <c r="I620" s="26">
        <f>HYPERLINK("[N&amp;P New retention.xlsx]'Lake P Results'!AM166", 43500)</f>
        <v>43500</v>
      </c>
      <c r="J620" s="26">
        <f>HYPERLINK("[N&amp;P with New retention and Differentiation.xlsx]'Lake P Results'!AM166", 43500)</f>
        <v>43500</v>
      </c>
      <c r="K620" s="18"/>
      <c r="L620" s="18"/>
      <c r="M620" s="27">
        <f>HYPERLINK("[N&amp;P Old retention.xlsx]'Lake P Results'!AC166", 970.812)</f>
        <v>970.81200000000001</v>
      </c>
      <c r="N620" s="27">
        <f>HYPERLINK("[N&amp;P New retention.xlsx]'Lake P Results'!AC166", 1028.68)</f>
        <v>1028.68</v>
      </c>
      <c r="O620" s="27">
        <f>HYPERLINK("[N&amp;P with New retention and Differentiation.xlsx]'Lake P Results'!AC166", 962.922)</f>
        <v>962.92200000000003</v>
      </c>
      <c r="P620" s="46">
        <f>N620-M620</f>
        <v>57.868000000000052</v>
      </c>
      <c r="Q620" s="47">
        <f>O620-M620</f>
        <v>-7.8899999999999864</v>
      </c>
      <c r="R620" s="27">
        <f>HYPERLINK("[N&amp;P Old retention.xlsx]'Lake P Results'!Y166", 14.46)</f>
        <v>14.46</v>
      </c>
      <c r="S620" s="27">
        <f>HYPERLINK("[N&amp;P New retention.xlsx]'Lake P Results'!Y166", 3.832)</f>
        <v>3.8319999999999999</v>
      </c>
      <c r="T620" s="27">
        <f>HYPERLINK("[N&amp;P with New retention and Differentiation.xlsx]'Lake P Results'!Y166", 23.54)</f>
        <v>23.54</v>
      </c>
      <c r="U620" s="47">
        <f>S620-R620</f>
        <v>-10.628</v>
      </c>
      <c r="V620" s="46">
        <f>T620-R620</f>
        <v>9.0799999999999983</v>
      </c>
      <c r="W620" s="27">
        <f>HYPERLINK("[N&amp;P Old retention.xlsx]'Lake P Results'!V166", 63.896)</f>
        <v>63.896000000000001</v>
      </c>
      <c r="X620" s="27">
        <f>HYPERLINK("[N&amp;P New retention.xlsx]'Lake P Results'!V166", 85.326)</f>
        <v>85.325999999999993</v>
      </c>
      <c r="Y620" s="27">
        <f>HYPERLINK("[N&amp;P with New retention and Differentiation.xlsx]'Lake P Results'!V166", 70.466)</f>
        <v>70.465999999999994</v>
      </c>
      <c r="Z620" s="46">
        <f>X620-W620</f>
        <v>21.429999999999993</v>
      </c>
      <c r="AA620" s="46">
        <f>Y620-W620</f>
        <v>6.5699999999999932</v>
      </c>
      <c r="AB620" s="27">
        <f>HYPERLINK("[N&amp;P Old retention.xlsx]'Lake P Results'!Z166", 22.87)</f>
        <v>22.87</v>
      </c>
      <c r="AC620" s="27">
        <f>HYPERLINK("[N&amp;P New retention.xlsx]'Lake P Results'!Z166", 3.59)</f>
        <v>3.59</v>
      </c>
      <c r="AD620" s="27">
        <f>HYPERLINK("[N&amp;P with New retention and Differentiation.xlsx]'Lake P Results'!Z166", 6.552)</f>
        <v>6.5519999999999996</v>
      </c>
      <c r="AE620" s="47">
        <f>AC620-AB620</f>
        <v>-19.28</v>
      </c>
      <c r="AF620" s="47">
        <f>AD620-AB620</f>
        <v>-16.318000000000001</v>
      </c>
      <c r="AG620" s="27">
        <f>HYPERLINK("[N&amp;P Old retention.xlsx]'Lake P Results'!AA166", 37.934)</f>
        <v>37.933999999999997</v>
      </c>
      <c r="AH620" s="27">
        <f>HYPERLINK("[N&amp;P New retention.xlsx]'Lake P Results'!AA166", 34.254)</f>
        <v>34.253999999999998</v>
      </c>
      <c r="AI620" s="27">
        <f>HYPERLINK("[N&amp;P with New retention and Differentiation.xlsx]'Lake P Results'!AA166", 28.994)</f>
        <v>28.994</v>
      </c>
      <c r="AJ620" s="47">
        <f>AH620-AG620</f>
        <v>-3.6799999999999997</v>
      </c>
      <c r="AK620" s="47">
        <f>AI620-AG620</f>
        <v>-8.9399999999999977</v>
      </c>
      <c r="AL620" s="27">
        <f>HYPERLINK("[N&amp;P Old retention.xlsx]'Lake P Results'!AF166", 1.73)</f>
        <v>1.73</v>
      </c>
      <c r="AM620" s="27">
        <f>HYPERLINK("[N&amp;P New retention.xlsx]'Lake P Results'!AF166", 1.73)</f>
        <v>1.73</v>
      </c>
      <c r="AN620" s="27">
        <f>HYPERLINK("[N&amp;P with New retention and Differentiation.xlsx]'Lake P Results'!AF166", 1.73)</f>
        <v>1.73</v>
      </c>
      <c r="AO620" s="18"/>
      <c r="AP620" s="18"/>
      <c r="AQ620" s="26">
        <f>HYPERLINK("[N&amp;P Old retention.xlsx]'Lake P Results'!AH166", 2400)</f>
        <v>2400</v>
      </c>
      <c r="AR620" s="26">
        <f>HYPERLINK("[N&amp;P New retention.xlsx]'Lake P Results'!AH166", 2400)</f>
        <v>2400</v>
      </c>
      <c r="AS620" s="26">
        <f>HYPERLINK("[N&amp;P with New retention and Differentiation.xlsx]'Lake P Results'!AH166", 2360)</f>
        <v>2360</v>
      </c>
      <c r="AT620" s="18"/>
      <c r="AU620" s="21">
        <f>AS620-AQ620</f>
        <v>-40</v>
      </c>
      <c r="AV620" s="27">
        <f>HYPERLINK("[N&amp;P Old retention.xlsx]'Lake P Results'!M166", 1395.62505962521)</f>
        <v>1395.62505962521</v>
      </c>
      <c r="AW620" s="27">
        <f>HYPERLINK("[N&amp;P New retention.xlsx]'Lake P Results'!M166", 1346.13505962521)</f>
        <v>1346.13505962521</v>
      </c>
      <c r="AX620" s="27">
        <f>HYPERLINK("[N&amp;P with New retention and Differentiation.xlsx]'Lake P Results'!M166", 1422.72505962521)</f>
        <v>1422.72505962521</v>
      </c>
      <c r="AY620" s="47">
        <f>AW620-AV620</f>
        <v>-49.490000000000009</v>
      </c>
      <c r="AZ620" s="46">
        <f>AX620-AV620</f>
        <v>27.099999999999909</v>
      </c>
      <c r="BA620" s="27">
        <f>HYPERLINK("[N&amp;P Old retention.xlsx]'Lake P Results'!O166", 285.652)</f>
        <v>285.65199999999999</v>
      </c>
      <c r="BB620" s="27">
        <f>HYPERLINK("[N&amp;P New retention.xlsx]'Lake P Results'!O166", 285.652)</f>
        <v>285.65199999999999</v>
      </c>
      <c r="BC620" s="27">
        <f>HYPERLINK("[N&amp;P with New retention and Differentiation.xlsx]'Lake P Results'!O166", 321.152)</f>
        <v>321.15199999999999</v>
      </c>
      <c r="BD620" s="18"/>
      <c r="BE620" s="46">
        <f>BC620-BA620</f>
        <v>35.5</v>
      </c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</row>
    <row r="621" spans="1:67" x14ac:dyDescent="0.55000000000000004">
      <c r="A621" s="31">
        <v>474</v>
      </c>
      <c r="B621" s="5" t="s">
        <v>480</v>
      </c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</row>
    <row r="622" spans="1:67" x14ac:dyDescent="0.55000000000000004">
      <c r="A622" s="30">
        <v>475</v>
      </c>
      <c r="B622" s="6" t="s">
        <v>481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</row>
    <row r="623" spans="1:67" x14ac:dyDescent="0.55000000000000004">
      <c r="A623" s="31">
        <v>477</v>
      </c>
      <c r="B623" s="5" t="s">
        <v>482</v>
      </c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</row>
    <row r="624" spans="1:67" x14ac:dyDescent="0.55000000000000004">
      <c r="A624" s="30">
        <v>478</v>
      </c>
      <c r="B624" s="6" t="s">
        <v>483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27">
        <f>HYPERLINK("[N&amp;P Old retention.xlsx]'Lake P Results'!M170", 8.72)</f>
        <v>8.7200000000000006</v>
      </c>
      <c r="AW624" s="18"/>
      <c r="AX624" s="18"/>
      <c r="AY624" s="47">
        <f>AW624-AV624</f>
        <v>-8.7200000000000006</v>
      </c>
      <c r="AZ624" s="47">
        <f>AX624-AV624</f>
        <v>-8.7200000000000006</v>
      </c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27">
        <f>HYPERLINK("[N&amp;P Old retention.xlsx]'Lake P Results'!Q170", 4.08)</f>
        <v>4.08</v>
      </c>
      <c r="BL624" s="27">
        <f>HYPERLINK("[N&amp;P New retention.xlsx]'Lake P Results'!Q170", 1.35)</f>
        <v>1.35</v>
      </c>
      <c r="BM624" s="27">
        <f>HYPERLINK("[N&amp;P with New retention and Differentiation.xlsx]'Lake P Results'!Q170", 1.35)</f>
        <v>1.35</v>
      </c>
      <c r="BN624" s="47">
        <f>BL624-BK624</f>
        <v>-2.73</v>
      </c>
      <c r="BO624" s="47">
        <f>BM624-BK624</f>
        <v>-2.73</v>
      </c>
    </row>
    <row r="625" spans="1:67" x14ac:dyDescent="0.55000000000000004">
      <c r="A625" s="31">
        <v>480</v>
      </c>
      <c r="B625" s="5" t="s">
        <v>484</v>
      </c>
      <c r="C625" s="13"/>
      <c r="D625" s="13"/>
      <c r="E625" s="13"/>
      <c r="F625" s="13"/>
      <c r="G625" s="13"/>
      <c r="H625" s="28">
        <f>HYPERLINK("[N&amp;P Old retention.xlsx]'Lake P Results'!AM171", 1100)</f>
        <v>1100</v>
      </c>
      <c r="I625" s="28">
        <f>HYPERLINK("[N&amp;P New retention.xlsx]'Lake P Results'!AM171", 1100)</f>
        <v>1100</v>
      </c>
      <c r="J625" s="28">
        <f>HYPERLINK("[N&amp;P with New retention and Differentiation.xlsx]'Lake P Results'!AM171", 1100)</f>
        <v>1100</v>
      </c>
      <c r="K625" s="13"/>
      <c r="L625" s="13"/>
      <c r="M625" s="13"/>
      <c r="N625" s="13"/>
      <c r="O625" s="13"/>
      <c r="P625" s="13"/>
      <c r="Q625" s="13"/>
      <c r="R625" s="13"/>
      <c r="S625" s="29">
        <f>HYPERLINK("[N&amp;P New retention.xlsx]'Lake P Results'!Y171", 0.41)</f>
        <v>0.41</v>
      </c>
      <c r="T625" s="13"/>
      <c r="U625" s="46">
        <f>S625-R625</f>
        <v>0.41</v>
      </c>
      <c r="V625" s="13"/>
      <c r="W625" s="13"/>
      <c r="X625" s="13"/>
      <c r="Y625" s="13"/>
      <c r="Z625" s="13"/>
      <c r="AA625" s="13"/>
      <c r="AB625" s="29">
        <f>HYPERLINK("[N&amp;P Old retention.xlsx]'Lake P Results'!Z171", 0.41)</f>
        <v>0.41</v>
      </c>
      <c r="AC625" s="13"/>
      <c r="AD625" s="29">
        <f>HYPERLINK("[N&amp;P with New retention and Differentiation.xlsx]'Lake P Results'!Z171", 0.41)</f>
        <v>0.41</v>
      </c>
      <c r="AE625" s="47">
        <f>AC625-AB625</f>
        <v>-0.41</v>
      </c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28">
        <f>HYPERLINK("[N&amp;P Old retention.xlsx]'Lake P Results'!AH171", 180)</f>
        <v>180</v>
      </c>
      <c r="AR625" s="28">
        <f>HYPERLINK("[N&amp;P New retention.xlsx]'Lake P Results'!AH171", 180)</f>
        <v>180</v>
      </c>
      <c r="AS625" s="28">
        <f>HYPERLINK("[N&amp;P with New retention and Differentiation.xlsx]'Lake P Results'!AH171", 180)</f>
        <v>180</v>
      </c>
      <c r="AT625" s="13"/>
      <c r="AU625" s="13"/>
      <c r="AV625" s="29">
        <f>HYPERLINK("[N&amp;P Old retention.xlsx]'Lake P Results'!M171", 117.03)</f>
        <v>117.03</v>
      </c>
      <c r="AW625" s="29">
        <f>HYPERLINK("[N&amp;P New retention.xlsx]'Lake P Results'!M171", 117.03)</f>
        <v>117.03</v>
      </c>
      <c r="AX625" s="29">
        <f>HYPERLINK("[N&amp;P with New retention and Differentiation.xlsx]'Lake P Results'!M171", 117.03)</f>
        <v>117.03</v>
      </c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</row>
    <row r="626" spans="1:67" x14ac:dyDescent="0.55000000000000004">
      <c r="A626" s="30">
        <v>482</v>
      </c>
      <c r="B626" s="6" t="s">
        <v>485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27">
        <f>HYPERLINK("[N&amp;P Old retention.xlsx]'Lake P Results'!M172", 6.03)</f>
        <v>6.03</v>
      </c>
      <c r="AW626" s="18"/>
      <c r="AX626" s="18"/>
      <c r="AY626" s="47">
        <f>AW626-AV626</f>
        <v>-6.03</v>
      </c>
      <c r="AZ626" s="47">
        <f>AX626-AV626</f>
        <v>-6.03</v>
      </c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27">
        <f>HYPERLINK("[N&amp;P Old retention.xlsx]'Lake P Results'!Q172", 0.43)</f>
        <v>0.43</v>
      </c>
      <c r="BL626" s="18"/>
      <c r="BM626" s="18"/>
      <c r="BN626" s="47">
        <f>BL626-BK626</f>
        <v>-0.43</v>
      </c>
      <c r="BO626" s="47">
        <f>BM626-BK626</f>
        <v>-0.43</v>
      </c>
    </row>
    <row r="627" spans="1:67" x14ac:dyDescent="0.55000000000000004">
      <c r="A627" s="31">
        <v>483</v>
      </c>
      <c r="B627" s="5" t="s">
        <v>486</v>
      </c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</row>
    <row r="628" spans="1:67" x14ac:dyDescent="0.55000000000000004">
      <c r="A628" s="30">
        <v>486</v>
      </c>
      <c r="B628" s="6" t="s">
        <v>487</v>
      </c>
      <c r="C628" s="18"/>
      <c r="D628" s="18"/>
      <c r="E628" s="18"/>
      <c r="F628" s="18"/>
      <c r="G628" s="18"/>
      <c r="H628" s="26">
        <f>HYPERLINK("[N&amp;P Old retention.xlsx]'Lake P Results'!AM174", 200)</f>
        <v>200</v>
      </c>
      <c r="I628" s="26">
        <f>HYPERLINK("[N&amp;P New retention.xlsx]'Lake P Results'!AM174", 200)</f>
        <v>200</v>
      </c>
      <c r="J628" s="26">
        <f>HYPERLINK("[N&amp;P with New retention and Differentiation.xlsx]'Lake P Results'!AM174", 200)</f>
        <v>200</v>
      </c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27">
        <f>HYPERLINK("[N&amp;P Old retention.xlsx]'Lake P Results'!AA174", 31.08)</f>
        <v>31.08</v>
      </c>
      <c r="AH628" s="27">
        <f>HYPERLINK("[N&amp;P New retention.xlsx]'Lake P Results'!AA174", 31.08)</f>
        <v>31.08</v>
      </c>
      <c r="AI628" s="27">
        <f>HYPERLINK("[N&amp;P with New retention and Differentiation.xlsx]'Lake P Results'!AA174", 31.07999993456)</f>
        <v>31.07999993456</v>
      </c>
      <c r="AJ628" s="18"/>
      <c r="AK628" s="47">
        <f>AI628-AG628</f>
        <v>-6.5439998309102521E-8</v>
      </c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</row>
    <row r="629" spans="1:67" x14ac:dyDescent="0.55000000000000004">
      <c r="A629" s="31">
        <v>487</v>
      </c>
      <c r="B629" s="5" t="s">
        <v>488</v>
      </c>
      <c r="C629" s="13"/>
      <c r="D629" s="13"/>
      <c r="E629" s="13"/>
      <c r="F629" s="13"/>
      <c r="G629" s="13"/>
      <c r="H629" s="28">
        <f>HYPERLINK("[N&amp;P Old retention.xlsx]'Lake P Results'!AM175", 900)</f>
        <v>900</v>
      </c>
      <c r="I629" s="28">
        <f>HYPERLINK("[N&amp;P New retention.xlsx]'Lake P Results'!AM175", 900)</f>
        <v>900</v>
      </c>
      <c r="J629" s="28">
        <f>HYPERLINK("[N&amp;P with New retention and Differentiation.xlsx]'Lake P Results'!AM175", 900)</f>
        <v>900</v>
      </c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29">
        <f>HYPERLINK("[N&amp;P Old retention.xlsx]'Lake P Results'!AA175", 2.92)</f>
        <v>2.92</v>
      </c>
      <c r="AH629" s="29">
        <f>HYPERLINK("[N&amp;P New retention.xlsx]'Lake P Results'!AA175", 2.92)</f>
        <v>2.92</v>
      </c>
      <c r="AI629" s="29">
        <f>HYPERLINK("[N&amp;P with New retention and Differentiation.xlsx]'Lake P Results'!AA175", 2.92)</f>
        <v>2.92</v>
      </c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</row>
    <row r="630" spans="1:67" x14ac:dyDescent="0.55000000000000004">
      <c r="A630" s="30">
        <v>488</v>
      </c>
      <c r="B630" s="6" t="s">
        <v>489</v>
      </c>
      <c r="C630" s="18"/>
      <c r="D630" s="18"/>
      <c r="E630" s="18"/>
      <c r="F630" s="18"/>
      <c r="G630" s="18"/>
      <c r="H630" s="26">
        <f>HYPERLINK("[N&amp;P Old retention.xlsx]'Lake P Results'!AM176", 1600)</f>
        <v>1600</v>
      </c>
      <c r="I630" s="26">
        <f>HYPERLINK("[N&amp;P New retention.xlsx]'Lake P Results'!AM176", 1600)</f>
        <v>1600</v>
      </c>
      <c r="J630" s="26">
        <f>HYPERLINK("[N&amp;P with New retention and Differentiation.xlsx]'Lake P Results'!AM176", 1600)</f>
        <v>1600</v>
      </c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</row>
    <row r="631" spans="1:67" x14ac:dyDescent="0.55000000000000004">
      <c r="A631" s="31">
        <v>489</v>
      </c>
      <c r="B631" s="5" t="s">
        <v>490</v>
      </c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</row>
    <row r="632" spans="1:67" x14ac:dyDescent="0.55000000000000004">
      <c r="A632" s="30">
        <v>490</v>
      </c>
      <c r="B632" s="6" t="s">
        <v>491</v>
      </c>
      <c r="C632" s="27">
        <f>HYPERLINK("[N&amp;P Old retention.xlsx]'Lake P Results'!AE178", 0.518)</f>
        <v>0.51800000000000002</v>
      </c>
      <c r="D632" s="27">
        <f>HYPERLINK("[N&amp;P New retention.xlsx]'Lake P Results'!AE178", 0.518)</f>
        <v>0.51800000000000002</v>
      </c>
      <c r="E632" s="27">
        <f>HYPERLINK("[N&amp;P with New retention and Differentiation.xlsx]'Lake P Results'!AE178", 0.518)</f>
        <v>0.51800000000000002</v>
      </c>
      <c r="F632" s="18"/>
      <c r="G632" s="18"/>
      <c r="H632" s="26">
        <f>HYPERLINK("[N&amp;P Old retention.xlsx]'Lake P Results'!AM178", 14700)</f>
        <v>14700</v>
      </c>
      <c r="I632" s="26">
        <f>HYPERLINK("[N&amp;P New retention.xlsx]'Lake P Results'!AM178", 14700)</f>
        <v>14700</v>
      </c>
      <c r="J632" s="26">
        <f>HYPERLINK("[N&amp;P with New retention and Differentiation.xlsx]'Lake P Results'!AM178", 14700)</f>
        <v>14700</v>
      </c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27">
        <f>HYPERLINK("[N&amp;P Old retention.xlsx]'Lake P Results'!V178", 1.61)</f>
        <v>1.61</v>
      </c>
      <c r="X632" s="27">
        <f>HYPERLINK("[N&amp;P New retention.xlsx]'Lake P Results'!V178", 1.61)</f>
        <v>1.61</v>
      </c>
      <c r="Y632" s="27">
        <f>HYPERLINK("[N&amp;P with New retention and Differentiation.xlsx]'Lake P Results'!V178", 1.61)</f>
        <v>1.61</v>
      </c>
      <c r="Z632" s="18"/>
      <c r="AA632" s="18"/>
      <c r="AB632" s="27">
        <f>HYPERLINK("[N&amp;P Old retention.xlsx]'Lake P Results'!Z178", 4.912)</f>
        <v>4.9119999999999999</v>
      </c>
      <c r="AC632" s="27">
        <f>HYPERLINK("[N&amp;P New retention.xlsx]'Lake P Results'!Z178", 4.912)</f>
        <v>4.9119999999999999</v>
      </c>
      <c r="AD632" s="27">
        <f>HYPERLINK("[N&amp;P with New retention and Differentiation.xlsx]'Lake P Results'!Z178", 4.912)</f>
        <v>4.9119999999999999</v>
      </c>
      <c r="AE632" s="18"/>
      <c r="AF632" s="18"/>
      <c r="AG632" s="27">
        <f>HYPERLINK("[N&amp;P Old retention.xlsx]'Lake P Results'!AA178", 11.134)</f>
        <v>11.134</v>
      </c>
      <c r="AH632" s="27">
        <f>HYPERLINK("[N&amp;P New retention.xlsx]'Lake P Results'!AA178", 11.134)</f>
        <v>11.134</v>
      </c>
      <c r="AI632" s="27">
        <f>HYPERLINK("[N&amp;P with New retention and Differentiation.xlsx]'Lake P Results'!AA178", 11.134)</f>
        <v>11.134</v>
      </c>
      <c r="AJ632" s="18"/>
      <c r="AK632" s="18"/>
      <c r="AL632" s="18"/>
      <c r="AM632" s="18"/>
      <c r="AN632" s="18"/>
      <c r="AO632" s="18"/>
      <c r="AP632" s="18"/>
      <c r="AQ632" s="26">
        <f>HYPERLINK("[N&amp;P Old retention.xlsx]'Lake P Results'!AH178", 60)</f>
        <v>60</v>
      </c>
      <c r="AR632" s="26">
        <f>HYPERLINK("[N&amp;P New retention.xlsx]'Lake P Results'!AH178", 60)</f>
        <v>60</v>
      </c>
      <c r="AS632" s="26">
        <f>HYPERLINK("[N&amp;P with New retention and Differentiation.xlsx]'Lake P Results'!AH178", 60)</f>
        <v>60</v>
      </c>
      <c r="AT632" s="18"/>
      <c r="AU632" s="18"/>
      <c r="AV632" s="27">
        <f>HYPERLINK("[N&amp;P Old retention.xlsx]'Lake P Results'!M178", 211.03)</f>
        <v>211.03</v>
      </c>
      <c r="AW632" s="27">
        <f>HYPERLINK("[N&amp;P New retention.xlsx]'Lake P Results'!M178", 211.03)</f>
        <v>211.03</v>
      </c>
      <c r="AX632" s="27">
        <f>HYPERLINK("[N&amp;P with New retention and Differentiation.xlsx]'Lake P Results'!M178", 211.03)</f>
        <v>211.03</v>
      </c>
      <c r="AY632" s="18"/>
      <c r="AZ632" s="18"/>
      <c r="BA632" s="27">
        <f>HYPERLINK("[N&amp;P Old retention.xlsx]'Lake P Results'!O178", 22.582)</f>
        <v>22.582000000000001</v>
      </c>
      <c r="BB632" s="27">
        <f>HYPERLINK("[N&amp;P New retention.xlsx]'Lake P Results'!O178", 22.582)</f>
        <v>22.582000000000001</v>
      </c>
      <c r="BC632" s="27">
        <f>HYPERLINK("[N&amp;P with New retention and Differentiation.xlsx]'Lake P Results'!O178", 22.582)</f>
        <v>22.582000000000001</v>
      </c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</row>
    <row r="633" spans="1:67" x14ac:dyDescent="0.55000000000000004">
      <c r="A633" s="31">
        <v>491</v>
      </c>
      <c r="B633" s="5" t="s">
        <v>492</v>
      </c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</row>
    <row r="634" spans="1:67" x14ac:dyDescent="0.55000000000000004">
      <c r="A634" s="30">
        <v>495</v>
      </c>
      <c r="B634" s="6" t="s">
        <v>493</v>
      </c>
      <c r="C634" s="27">
        <f>HYPERLINK("[N&amp;P Old retention.xlsx]'Lake P Results'!AE180", 0.7)</f>
        <v>0.7</v>
      </c>
      <c r="D634" s="27">
        <f>HYPERLINK("[N&amp;P New retention.xlsx]'Lake P Results'!AE180", 0.7)</f>
        <v>0.7</v>
      </c>
      <c r="E634" s="27">
        <f>HYPERLINK("[N&amp;P with New retention and Differentiation.xlsx]'Lake P Results'!AE180", 0.7)</f>
        <v>0.7</v>
      </c>
      <c r="F634" s="18"/>
      <c r="G634" s="18"/>
      <c r="H634" s="26">
        <f>HYPERLINK("[N&amp;P Old retention.xlsx]'Lake P Results'!AM180", 7400)</f>
        <v>7400</v>
      </c>
      <c r="I634" s="26">
        <f>HYPERLINK("[N&amp;P New retention.xlsx]'Lake P Results'!AM180", 7700)</f>
        <v>7700</v>
      </c>
      <c r="J634" s="26">
        <f>HYPERLINK("[N&amp;P with New retention and Differentiation.xlsx]'Lake P Results'!AM180", 7500)</f>
        <v>7500</v>
      </c>
      <c r="K634" s="16">
        <f>I634-H634</f>
        <v>300</v>
      </c>
      <c r="L634" s="16">
        <f>J634-H634</f>
        <v>100</v>
      </c>
      <c r="M634" s="27">
        <f>HYPERLINK("[N&amp;P Old retention.xlsx]'Lake P Results'!AC180", 43.042)</f>
        <v>43.042000000000002</v>
      </c>
      <c r="N634" s="27">
        <f>HYPERLINK("[N&amp;P New retention.xlsx]'Lake P Results'!AC180", 36.342)</f>
        <v>36.341999999999999</v>
      </c>
      <c r="O634" s="27">
        <f>HYPERLINK("[N&amp;P with New retention and Differentiation.xlsx]'Lake P Results'!AC180", 41.342)</f>
        <v>41.341999999999999</v>
      </c>
      <c r="P634" s="47">
        <f>N634-M634</f>
        <v>-6.7000000000000028</v>
      </c>
      <c r="Q634" s="47">
        <f>O634-M634</f>
        <v>-1.7000000000000028</v>
      </c>
      <c r="R634" s="27">
        <f>HYPERLINK("[N&amp;P Old retention.xlsx]'Lake P Results'!Y180", 0.124)</f>
        <v>0.124</v>
      </c>
      <c r="S634" s="18"/>
      <c r="T634" s="27">
        <f>HYPERLINK("[N&amp;P with New retention and Differentiation.xlsx]'Lake P Results'!Y180", 0.812)</f>
        <v>0.81200000000000006</v>
      </c>
      <c r="U634" s="47">
        <f>S634-R634</f>
        <v>-0.124</v>
      </c>
      <c r="V634" s="46">
        <f>T634-R634</f>
        <v>0.68800000000000006</v>
      </c>
      <c r="W634" s="18"/>
      <c r="X634" s="18"/>
      <c r="Y634" s="18"/>
      <c r="Z634" s="18"/>
      <c r="AA634" s="18"/>
      <c r="AB634" s="18"/>
      <c r="AC634" s="27">
        <f>HYPERLINK("[N&amp;P New retention.xlsx]'Lake P Results'!Z180", 0.936)</f>
        <v>0.93600000000000005</v>
      </c>
      <c r="AD634" s="27">
        <f>HYPERLINK("[N&amp;P with New retention and Differentiation.xlsx]'Lake P Results'!Z180", 0.124)</f>
        <v>0.124</v>
      </c>
      <c r="AE634" s="46">
        <f>AC634-AB634</f>
        <v>0.93600000000000005</v>
      </c>
      <c r="AF634" s="46">
        <f>AD634-AB634</f>
        <v>0.124</v>
      </c>
      <c r="AG634" s="27">
        <f>HYPERLINK("[N&amp;P Old retention.xlsx]'Lake P Results'!AA180", 45.224)</f>
        <v>45.223999999999997</v>
      </c>
      <c r="AH634" s="27">
        <f>HYPERLINK("[N&amp;P New retention.xlsx]'Lake P Results'!AA180", 46.204)</f>
        <v>46.204000000000001</v>
      </c>
      <c r="AI634" s="27">
        <f>HYPERLINK("[N&amp;P with New retention and Differentiation.xlsx]'Lake P Results'!AA180", 46.204)</f>
        <v>46.204000000000001</v>
      </c>
      <c r="AJ634" s="46">
        <f>AH634-AG634</f>
        <v>0.98000000000000398</v>
      </c>
      <c r="AK634" s="46">
        <f>AI634-AG634</f>
        <v>0.98000000000000398</v>
      </c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27">
        <f>HYPERLINK("[N&amp;P Old retention.xlsx]'Lake P Results'!M180", 7.238)</f>
        <v>7.2380000000000004</v>
      </c>
      <c r="AW634" s="18"/>
      <c r="AX634" s="18"/>
      <c r="AY634" s="47">
        <f>AW634-AV634</f>
        <v>-7.2380000000000004</v>
      </c>
      <c r="AZ634" s="47">
        <f>AX634-AV634</f>
        <v>-7.2380000000000004</v>
      </c>
      <c r="BA634" s="27">
        <f>HYPERLINK("[N&amp;P Old retention.xlsx]'Lake P Results'!O180", 7.88)</f>
        <v>7.88</v>
      </c>
      <c r="BB634" s="27">
        <f>HYPERLINK("[N&amp;P New retention.xlsx]'Lake P Results'!O180", 6.23)</f>
        <v>6.23</v>
      </c>
      <c r="BC634" s="27">
        <f>HYPERLINK("[N&amp;P with New retention and Differentiation.xlsx]'Lake P Results'!O180", 6.23)</f>
        <v>6.23</v>
      </c>
      <c r="BD634" s="47">
        <f>BB634-BA634</f>
        <v>-1.6499999999999995</v>
      </c>
      <c r="BE634" s="47">
        <f>BC634-BA634</f>
        <v>-1.6499999999999995</v>
      </c>
      <c r="BF634" s="18"/>
      <c r="BG634" s="18"/>
      <c r="BH634" s="18"/>
      <c r="BI634" s="18"/>
      <c r="BJ634" s="18"/>
      <c r="BK634" s="27">
        <f>HYPERLINK("[N&amp;P Old retention.xlsx]'Lake P Results'!Q180", 1.54)</f>
        <v>1.54</v>
      </c>
      <c r="BL634" s="18"/>
      <c r="BM634" s="18"/>
      <c r="BN634" s="47">
        <f>BL634-BK634</f>
        <v>-1.54</v>
      </c>
      <c r="BO634" s="47">
        <f>BM634-BK634</f>
        <v>-1.54</v>
      </c>
    </row>
    <row r="635" spans="1:67" x14ac:dyDescent="0.55000000000000004">
      <c r="A635" s="31">
        <v>496</v>
      </c>
      <c r="B635" s="5" t="s">
        <v>494</v>
      </c>
      <c r="C635" s="29">
        <f>HYPERLINK("[N&amp;P Old retention.xlsx]'Lake P Results'!AE181", 8.96)</f>
        <v>8.9600000000000009</v>
      </c>
      <c r="D635" s="29">
        <f>HYPERLINK("[N&amp;P New retention.xlsx]'Lake P Results'!AE181", 9.02)</f>
        <v>9.02</v>
      </c>
      <c r="E635" s="29">
        <f>HYPERLINK("[N&amp;P with New retention and Differentiation.xlsx]'Lake P Results'!AE181", 9.02)</f>
        <v>9.02</v>
      </c>
      <c r="F635" s="46">
        <f>D635-C635</f>
        <v>5.9999999999998721E-2</v>
      </c>
      <c r="G635" s="46">
        <f>E635-C635</f>
        <v>5.9999999999998721E-2</v>
      </c>
      <c r="H635" s="28">
        <f>HYPERLINK("[N&amp;P Old retention.xlsx]'Lake P Results'!AM181", 3600)</f>
        <v>3600</v>
      </c>
      <c r="I635" s="28">
        <f>HYPERLINK("[N&amp;P New retention.xlsx]'Lake P Results'!AM181", 3700)</f>
        <v>3700</v>
      </c>
      <c r="J635" s="28">
        <f>HYPERLINK("[N&amp;P with New retention and Differentiation.xlsx]'Lake P Results'!AM181", 3700)</f>
        <v>3700</v>
      </c>
      <c r="K635" s="16">
        <f>I635-H635</f>
        <v>100</v>
      </c>
      <c r="L635" s="16">
        <f>J635-H635</f>
        <v>100</v>
      </c>
      <c r="M635" s="29">
        <f>HYPERLINK("[N&amp;P Old retention.xlsx]'Lake P Results'!AC181", 1.57)</f>
        <v>1.57</v>
      </c>
      <c r="N635" s="13"/>
      <c r="O635" s="13"/>
      <c r="P635" s="47">
        <f>N635-M635</f>
        <v>-1.57</v>
      </c>
      <c r="Q635" s="47">
        <f>O635-M635</f>
        <v>-1.57</v>
      </c>
      <c r="R635" s="13"/>
      <c r="S635" s="13"/>
      <c r="T635" s="13"/>
      <c r="U635" s="13"/>
      <c r="V635" s="13"/>
      <c r="W635" s="29">
        <f>HYPERLINK("[N&amp;P Old retention.xlsx]'Lake P Results'!V181", 0.48)</f>
        <v>0.48</v>
      </c>
      <c r="X635" s="13"/>
      <c r="Y635" s="13"/>
      <c r="Z635" s="47">
        <f>X635-W635</f>
        <v>-0.48</v>
      </c>
      <c r="AA635" s="47">
        <f>Y635-W635</f>
        <v>-0.48</v>
      </c>
      <c r="AB635" s="13"/>
      <c r="AC635" s="13"/>
      <c r="AD635" s="13"/>
      <c r="AE635" s="13"/>
      <c r="AF635" s="13"/>
      <c r="AG635" s="29">
        <f>HYPERLINK("[N&amp;P Old retention.xlsx]'Lake P Results'!AA181", 6.2)</f>
        <v>6.2</v>
      </c>
      <c r="AH635" s="29">
        <f>HYPERLINK("[N&amp;P New retention.xlsx]'Lake P Results'!AA181", 6.2)</f>
        <v>6.2</v>
      </c>
      <c r="AI635" s="29">
        <f>HYPERLINK("[N&amp;P with New retention and Differentiation.xlsx]'Lake P Results'!AA181", 6.2)</f>
        <v>6.2</v>
      </c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29">
        <f>HYPERLINK("[N&amp;P Old retention.xlsx]'Lake P Results'!M181", 65.53)</f>
        <v>65.53</v>
      </c>
      <c r="AW635" s="29">
        <f>HYPERLINK("[N&amp;P New retention.xlsx]'Lake P Results'!M181", 54.62)</f>
        <v>54.62</v>
      </c>
      <c r="AX635" s="29">
        <f>HYPERLINK("[N&amp;P with New retention and Differentiation.xlsx]'Lake P Results'!M181", 54.62)</f>
        <v>54.62</v>
      </c>
      <c r="AY635" s="47">
        <f>AW635-AV635</f>
        <v>-10.910000000000004</v>
      </c>
      <c r="AZ635" s="47">
        <f>AX635-AV635</f>
        <v>-10.910000000000004</v>
      </c>
      <c r="BA635" s="29">
        <f>HYPERLINK("[N&amp;P Old retention.xlsx]'Lake P Results'!O181", 3.01)</f>
        <v>3.01</v>
      </c>
      <c r="BB635" s="29">
        <f>HYPERLINK("[N&amp;P New retention.xlsx]'Lake P Results'!O181", 2.54)</f>
        <v>2.54</v>
      </c>
      <c r="BC635" s="29">
        <f>HYPERLINK("[N&amp;P with New retention and Differentiation.xlsx]'Lake P Results'!O181", 2.54)</f>
        <v>2.54</v>
      </c>
      <c r="BD635" s="47">
        <f>BB635-BA635</f>
        <v>-0.46999999999999975</v>
      </c>
      <c r="BE635" s="47">
        <f>BC635-BA635</f>
        <v>-0.46999999999999975</v>
      </c>
      <c r="BF635" s="13"/>
      <c r="BG635" s="13"/>
      <c r="BH635" s="13"/>
      <c r="BI635" s="13"/>
      <c r="BJ635" s="13"/>
      <c r="BK635" s="29">
        <f>HYPERLINK("[N&amp;P Old retention.xlsx]'Lake P Results'!Q181", 8.11)</f>
        <v>8.11</v>
      </c>
      <c r="BL635" s="29">
        <f>HYPERLINK("[N&amp;P New retention.xlsx]'Lake P Results'!Q181", 0.32)</f>
        <v>0.32</v>
      </c>
      <c r="BM635" s="29">
        <f>HYPERLINK("[N&amp;P with New retention and Differentiation.xlsx]'Lake P Results'!Q181", 0.32)</f>
        <v>0.32</v>
      </c>
      <c r="BN635" s="47">
        <f>BL635-BK635</f>
        <v>-7.7899999999999991</v>
      </c>
      <c r="BO635" s="47">
        <f>BM635-BK635</f>
        <v>-7.7899999999999991</v>
      </c>
    </row>
    <row r="636" spans="1:67" x14ac:dyDescent="0.55000000000000004">
      <c r="A636" s="30">
        <v>497</v>
      </c>
      <c r="B636" s="6" t="s">
        <v>495</v>
      </c>
      <c r="C636" s="18"/>
      <c r="D636" s="18"/>
      <c r="E636" s="18"/>
      <c r="F636" s="18"/>
      <c r="G636" s="18"/>
      <c r="H636" s="26">
        <f>HYPERLINK("[N&amp;P Old retention.xlsx]'Lake P Results'!AM182", 100)</f>
        <v>100</v>
      </c>
      <c r="I636" s="26">
        <f>HYPERLINK("[N&amp;P New retention.xlsx]'Lake P Results'!AM182", 100)</f>
        <v>100</v>
      </c>
      <c r="J636" s="26">
        <f>HYPERLINK("[N&amp;P with New retention and Differentiation.xlsx]'Lake P Results'!AM182", 100)</f>
        <v>100</v>
      </c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27">
        <f>HYPERLINK("[N&amp;P Old retention.xlsx]'Lake P Results'!M182", 11.47)</f>
        <v>11.47</v>
      </c>
      <c r="AW636" s="18"/>
      <c r="AX636" s="18"/>
      <c r="AY636" s="47">
        <f>AW636-AV636</f>
        <v>-11.47</v>
      </c>
      <c r="AZ636" s="47">
        <f>AX636-AV636</f>
        <v>-11.47</v>
      </c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</row>
    <row r="637" spans="1:67" x14ac:dyDescent="0.55000000000000004">
      <c r="A637" s="31">
        <v>498</v>
      </c>
      <c r="B637" s="5" t="s">
        <v>496</v>
      </c>
      <c r="C637" s="13"/>
      <c r="D637" s="13"/>
      <c r="E637" s="13"/>
      <c r="F637" s="13"/>
      <c r="G637" s="13"/>
      <c r="H637" s="28">
        <f>HYPERLINK("[N&amp;P Old retention.xlsx]'Lake P Results'!AM183", 400)</f>
        <v>400</v>
      </c>
      <c r="I637" s="28">
        <f>HYPERLINK("[N&amp;P New retention.xlsx]'Lake P Results'!AM183", 400)</f>
        <v>400</v>
      </c>
      <c r="J637" s="28">
        <f>HYPERLINK("[N&amp;P with New retention and Differentiation.xlsx]'Lake P Results'!AM183", 400)</f>
        <v>400</v>
      </c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</row>
    <row r="638" spans="1:67" x14ac:dyDescent="0.55000000000000004">
      <c r="A638" s="30">
        <v>499</v>
      </c>
      <c r="B638" s="6" t="s">
        <v>497</v>
      </c>
      <c r="C638" s="18"/>
      <c r="D638" s="18"/>
      <c r="E638" s="18"/>
      <c r="F638" s="18"/>
      <c r="G638" s="18"/>
      <c r="H638" s="26">
        <f>HYPERLINK("[N&amp;P Old retention.xlsx]'Lake P Results'!AM184", 200)</f>
        <v>200</v>
      </c>
      <c r="I638" s="26">
        <f>HYPERLINK("[N&amp;P New retention.xlsx]'Lake P Results'!AM184", 200)</f>
        <v>200</v>
      </c>
      <c r="J638" s="26">
        <f>HYPERLINK("[N&amp;P with New retention and Differentiation.xlsx]'Lake P Results'!AM184", 200)</f>
        <v>200</v>
      </c>
      <c r="K638" s="18"/>
      <c r="L638" s="18"/>
      <c r="M638" s="27">
        <f>HYPERLINK("[N&amp;P Old retention.xlsx]'Lake P Results'!AC184", 4.38)</f>
        <v>4.38</v>
      </c>
      <c r="N638" s="27">
        <f>HYPERLINK("[N&amp;P New retention.xlsx]'Lake P Results'!AC184", 4.2)</f>
        <v>4.2</v>
      </c>
      <c r="O638" s="27">
        <f>HYPERLINK("[N&amp;P with New retention and Differentiation.xlsx]'Lake P Results'!AC184", 5.42)</f>
        <v>5.42</v>
      </c>
      <c r="P638" s="47">
        <f>N638-M638</f>
        <v>-0.17999999999999972</v>
      </c>
      <c r="Q638" s="46">
        <f>O638-M638</f>
        <v>1.04</v>
      </c>
      <c r="R638" s="27">
        <f>HYPERLINK("[N&amp;P Old retention.xlsx]'Lake P Results'!Y184", 4.6)</f>
        <v>4.5999999999999996</v>
      </c>
      <c r="S638" s="27">
        <f>HYPERLINK("[N&amp;P New retention.xlsx]'Lake P Results'!Y184", 3.96)</f>
        <v>3.96</v>
      </c>
      <c r="T638" s="18"/>
      <c r="U638" s="47">
        <f>S638-R638</f>
        <v>-0.63999999999999968</v>
      </c>
      <c r="V638" s="47">
        <f>T638-R638</f>
        <v>-4.5999999999999996</v>
      </c>
      <c r="W638" s="18"/>
      <c r="X638" s="18"/>
      <c r="Y638" s="18"/>
      <c r="Z638" s="18"/>
      <c r="AA638" s="18"/>
      <c r="AB638" s="18"/>
      <c r="AC638" s="27">
        <f>HYPERLINK("[N&amp;P New retention.xlsx]'Lake P Results'!Z184", 0.82)</f>
        <v>0.82</v>
      </c>
      <c r="AD638" s="27">
        <f>HYPERLINK("[N&amp;P with New retention and Differentiation.xlsx]'Lake P Results'!Z184", 3.56)</f>
        <v>3.56</v>
      </c>
      <c r="AE638" s="46">
        <f>AC638-AB638</f>
        <v>0.82</v>
      </c>
      <c r="AF638" s="46">
        <f>AD638-AB638</f>
        <v>3.56</v>
      </c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26">
        <f>HYPERLINK("[N&amp;P Old retention.xlsx]'Lake P Results'!AH184", 20)</f>
        <v>20</v>
      </c>
      <c r="AR638" s="26">
        <f>HYPERLINK("[N&amp;P New retention.xlsx]'Lake P Results'!AH184", 20)</f>
        <v>20</v>
      </c>
      <c r="AS638" s="26">
        <f>HYPERLINK("[N&amp;P with New retention and Differentiation.xlsx]'Lake P Results'!AH184", 20)</f>
        <v>20</v>
      </c>
      <c r="AT638" s="18"/>
      <c r="AU638" s="18"/>
      <c r="AV638" s="27">
        <f>HYPERLINK("[N&amp;P Old retention.xlsx]'Lake P Results'!M184", 15.78)</f>
        <v>15.78</v>
      </c>
      <c r="AW638" s="27">
        <f>HYPERLINK("[N&amp;P New retention.xlsx]'Lake P Results'!M184", 12.2)</f>
        <v>12.2</v>
      </c>
      <c r="AX638" s="27">
        <f>HYPERLINK("[N&amp;P with New retention and Differentiation.xlsx]'Lake P Results'!M184", 12.2)</f>
        <v>12.2</v>
      </c>
      <c r="AY638" s="47">
        <f>AW638-AV638</f>
        <v>-3.58</v>
      </c>
      <c r="AZ638" s="47">
        <f>AX638-AV638</f>
        <v>-3.58</v>
      </c>
      <c r="BA638" s="27">
        <f>HYPERLINK("[N&amp;P Old retention.xlsx]'Lake P Results'!O184", 0.146)</f>
        <v>0.14599999999999999</v>
      </c>
      <c r="BB638" s="27">
        <f>HYPERLINK("[N&amp;P New retention.xlsx]'Lake P Results'!O184", 0.146)</f>
        <v>0.14599999999999999</v>
      </c>
      <c r="BC638" s="27">
        <f>HYPERLINK("[N&amp;P with New retention and Differentiation.xlsx]'Lake P Results'!O184", 0.146)</f>
        <v>0.14599999999999999</v>
      </c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</row>
    <row r="639" spans="1:67" x14ac:dyDescent="0.55000000000000004">
      <c r="A639" s="31">
        <v>501</v>
      </c>
      <c r="B639" s="5" t="s">
        <v>498</v>
      </c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</row>
    <row r="640" spans="1:67" x14ac:dyDescent="0.55000000000000004">
      <c r="A640" s="30">
        <v>504</v>
      </c>
      <c r="B640" s="6" t="s">
        <v>499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</row>
    <row r="641" spans="1:67" x14ac:dyDescent="0.55000000000000004">
      <c r="A641" s="31">
        <v>506</v>
      </c>
      <c r="B641" s="5" t="s">
        <v>500</v>
      </c>
      <c r="C641" s="29">
        <f>HYPERLINK("[N&amp;P Old retention.xlsx]'Lake P Results'!AE187", 0.0479999999999999)</f>
        <v>4.7999999999999897E-2</v>
      </c>
      <c r="D641" s="29">
        <f>HYPERLINK("[N&amp;P New retention.xlsx]'Lake P Results'!AE187", 0.0479999999999999)</f>
        <v>4.7999999999999897E-2</v>
      </c>
      <c r="E641" s="29">
        <f>HYPERLINK("[N&amp;P with New retention and Differentiation.xlsx]'Lake P Results'!AE187", 0.0479999999999999)</f>
        <v>4.7999999999999897E-2</v>
      </c>
      <c r="F641" s="13"/>
      <c r="G641" s="13"/>
      <c r="H641" s="28">
        <f>HYPERLINK("[N&amp;P Old retention.xlsx]'Lake P Results'!AM187", 700)</f>
        <v>700</v>
      </c>
      <c r="I641" s="28">
        <f>HYPERLINK("[N&amp;P New retention.xlsx]'Lake P Results'!AM187", 700)</f>
        <v>700</v>
      </c>
      <c r="J641" s="28">
        <f>HYPERLINK("[N&amp;P with New retention and Differentiation.xlsx]'Lake P Results'!AM187", 700)</f>
        <v>700</v>
      </c>
      <c r="K641" s="13"/>
      <c r="L641" s="13"/>
      <c r="M641" s="29">
        <f>HYPERLINK("[N&amp;P Old retention.xlsx]'Lake P Results'!AC187", 19.56)</f>
        <v>19.559999999999999</v>
      </c>
      <c r="N641" s="29">
        <f>HYPERLINK("[N&amp;P New retention.xlsx]'Lake P Results'!AC187", 5.36)</f>
        <v>5.36</v>
      </c>
      <c r="O641" s="29">
        <f>HYPERLINK("[N&amp;P with New retention and Differentiation.xlsx]'Lake P Results'!AC187", 26.896)</f>
        <v>26.896000000000001</v>
      </c>
      <c r="P641" s="47">
        <f>N641-M641</f>
        <v>-14.2</v>
      </c>
      <c r="Q641" s="46">
        <f>O641-M641</f>
        <v>7.3360000000000021</v>
      </c>
      <c r="R641" s="29">
        <f>HYPERLINK("[N&amp;P Old retention.xlsx]'Lake P Results'!Y187", 18.316)</f>
        <v>18.315999999999999</v>
      </c>
      <c r="S641" s="29">
        <f>HYPERLINK("[N&amp;P New retention.xlsx]'Lake P Results'!Y187", 27.508)</f>
        <v>27.507999999999999</v>
      </c>
      <c r="T641" s="29">
        <f>HYPERLINK("[N&amp;P with New retention and Differentiation.xlsx]'Lake P Results'!Y187", 1.478)</f>
        <v>1.478</v>
      </c>
      <c r="U641" s="46">
        <f>S641-R641</f>
        <v>9.1920000000000002</v>
      </c>
      <c r="V641" s="47">
        <f>T641-R641</f>
        <v>-16.837999999999997</v>
      </c>
      <c r="W641" s="29">
        <f>HYPERLINK("[N&amp;P Old retention.xlsx]'Lake P Results'!V187", 103.376)</f>
        <v>103.376</v>
      </c>
      <c r="X641" s="29">
        <f>HYPERLINK("[N&amp;P New retention.xlsx]'Lake P Results'!V187", 103.37599996733)</f>
        <v>103.37599996733</v>
      </c>
      <c r="Y641" s="29">
        <f>HYPERLINK("[N&amp;P with New retention and Differentiation.xlsx]'Lake P Results'!V187", 103.376)</f>
        <v>103.376</v>
      </c>
      <c r="Z641" s="47">
        <f>X641-W641</f>
        <v>-3.2670001814949501E-8</v>
      </c>
      <c r="AA641" s="13"/>
      <c r="AB641" s="29">
        <f>HYPERLINK("[N&amp;P Old retention.xlsx]'Lake P Results'!Z187", 8.168)</f>
        <v>8.1679999999999993</v>
      </c>
      <c r="AC641" s="29">
        <f>HYPERLINK("[N&amp;P New retention.xlsx]'Lake P Results'!Z187", 13.176)</f>
        <v>13.176</v>
      </c>
      <c r="AD641" s="29">
        <f>HYPERLINK("[N&amp;P with New retention and Differentiation.xlsx]'Lake P Results'!Z187", 17.67)</f>
        <v>17.670000000000002</v>
      </c>
      <c r="AE641" s="46">
        <f>AC641-AB641</f>
        <v>5.0080000000000009</v>
      </c>
      <c r="AF641" s="46">
        <f>AD641-AB641</f>
        <v>9.5020000000000024</v>
      </c>
      <c r="AG641" s="29">
        <f>HYPERLINK("[N&amp;P Old retention.xlsx]'Lake P Results'!AA187", 1.24)</f>
        <v>1.24</v>
      </c>
      <c r="AH641" s="29">
        <f>HYPERLINK("[N&amp;P New retention.xlsx]'Lake P Results'!AA187", 1.24)</f>
        <v>1.24</v>
      </c>
      <c r="AI641" s="29">
        <f>HYPERLINK("[N&amp;P with New retention and Differentiation.xlsx]'Lake P Results'!AA187", 1.24)</f>
        <v>1.24</v>
      </c>
      <c r="AJ641" s="13"/>
      <c r="AK641" s="13"/>
      <c r="AL641" s="13"/>
      <c r="AM641" s="13"/>
      <c r="AN641" s="13"/>
      <c r="AO641" s="13"/>
      <c r="AP641" s="13"/>
      <c r="AQ641" s="28">
        <f>HYPERLINK("[N&amp;P Old retention.xlsx]'Lake P Results'!AH187", 200)</f>
        <v>200</v>
      </c>
      <c r="AR641" s="28">
        <f>HYPERLINK("[N&amp;P New retention.xlsx]'Lake P Results'!AH187", 200)</f>
        <v>200</v>
      </c>
      <c r="AS641" s="28">
        <f>HYPERLINK("[N&amp;P with New retention and Differentiation.xlsx]'Lake P Results'!AH187", 200)</f>
        <v>200</v>
      </c>
      <c r="AT641" s="13"/>
      <c r="AU641" s="13"/>
      <c r="AV641" s="29">
        <f>HYPERLINK("[N&amp;P Old retention.xlsx]'Lake P Results'!M187", 6.41)</f>
        <v>6.41</v>
      </c>
      <c r="AW641" s="29">
        <f>HYPERLINK("[N&amp;P New retention.xlsx]'Lake P Results'!M187", 6.41)</f>
        <v>6.41</v>
      </c>
      <c r="AX641" s="29">
        <f>HYPERLINK("[N&amp;P with New retention and Differentiation.xlsx]'Lake P Results'!M187", 2.48)</f>
        <v>2.48</v>
      </c>
      <c r="AY641" s="13"/>
      <c r="AZ641" s="47">
        <f>AX641-AV641</f>
        <v>-3.93</v>
      </c>
      <c r="BA641" s="29">
        <f>HYPERLINK("[N&amp;P Old retention.xlsx]'Lake P Results'!O187", 3.362)</f>
        <v>3.3620000000000001</v>
      </c>
      <c r="BB641" s="29">
        <f>HYPERLINK("[N&amp;P New retention.xlsx]'Lake P Results'!O187", 3.362)</f>
        <v>3.3620000000000001</v>
      </c>
      <c r="BC641" s="29">
        <f>HYPERLINK("[N&amp;P with New retention and Differentiation.xlsx]'Lake P Results'!O187", 3.362)</f>
        <v>3.3620000000000001</v>
      </c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</row>
    <row r="642" spans="1:67" x14ac:dyDescent="0.55000000000000004">
      <c r="A642" s="30">
        <v>508</v>
      </c>
      <c r="B642" s="6" t="s">
        <v>501</v>
      </c>
      <c r="C642" s="18"/>
      <c r="D642" s="18"/>
      <c r="E642" s="18"/>
      <c r="F642" s="18"/>
      <c r="G642" s="18"/>
      <c r="H642" s="26">
        <f>HYPERLINK("[N&amp;P Old retention.xlsx]'Lake P Results'!AM188", 1500)</f>
        <v>1500</v>
      </c>
      <c r="I642" s="26">
        <f>HYPERLINK("[N&amp;P New retention.xlsx]'Lake P Results'!AM188", 1500)</f>
        <v>1500</v>
      </c>
      <c r="J642" s="26">
        <f>HYPERLINK("[N&amp;P with New retention and Differentiation.xlsx]'Lake P Results'!AM188", 1500)</f>
        <v>1500</v>
      </c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27">
        <f>HYPERLINK("[N&amp;P Old retention.xlsx]'Lake P Results'!AA188", 1.964)</f>
        <v>1.964</v>
      </c>
      <c r="AH642" s="27">
        <f>HYPERLINK("[N&amp;P New retention.xlsx]'Lake P Results'!AA188", 1.964)</f>
        <v>1.964</v>
      </c>
      <c r="AI642" s="27">
        <f>HYPERLINK("[N&amp;P with New retention and Differentiation.xlsx]'Lake P Results'!AA188", 1.964)</f>
        <v>1.964</v>
      </c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27">
        <f>HYPERLINK("[N&amp;P Old retention.xlsx]'Lake P Results'!M188", 59.95)</f>
        <v>59.95</v>
      </c>
      <c r="AW642" s="27">
        <f>HYPERLINK("[N&amp;P New retention.xlsx]'Lake P Results'!M188", 59.95)</f>
        <v>59.95</v>
      </c>
      <c r="AX642" s="27">
        <f>HYPERLINK("[N&amp;P with New retention and Differentiation.xlsx]'Lake P Results'!M188", 59.95)</f>
        <v>59.95</v>
      </c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</row>
    <row r="643" spans="1:67" x14ac:dyDescent="0.55000000000000004">
      <c r="A643" s="31">
        <v>510</v>
      </c>
      <c r="B643" s="5" t="s">
        <v>502</v>
      </c>
      <c r="C643" s="13"/>
      <c r="D643" s="13"/>
      <c r="E643" s="13"/>
      <c r="F643" s="13"/>
      <c r="G643" s="13"/>
      <c r="H643" s="28">
        <f>HYPERLINK("[N&amp;P Old retention.xlsx]'Lake P Results'!AM189", 23500)</f>
        <v>23500</v>
      </c>
      <c r="I643" s="28">
        <f>HYPERLINK("[N&amp;P New retention.xlsx]'Lake P Results'!AM189", 23500)</f>
        <v>23500</v>
      </c>
      <c r="J643" s="28">
        <f>HYPERLINK("[N&amp;P with New retention and Differentiation.xlsx]'Lake P Results'!AM189", 23600)</f>
        <v>23600</v>
      </c>
      <c r="K643" s="13"/>
      <c r="L643" s="16">
        <f>J643-H643</f>
        <v>100</v>
      </c>
      <c r="M643" s="13"/>
      <c r="N643" s="29">
        <f>HYPERLINK("[N&amp;P New retention.xlsx]'Lake P Results'!AC189", 1.8)</f>
        <v>1.8</v>
      </c>
      <c r="O643" s="13"/>
      <c r="P643" s="46">
        <f>N643-M643</f>
        <v>1.8</v>
      </c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29">
        <f>HYPERLINK("[N&amp;P Old retention.xlsx]'Lake P Results'!AA189", 8.11)</f>
        <v>8.11</v>
      </c>
      <c r="AH643" s="29">
        <f>HYPERLINK("[N&amp;P New retention.xlsx]'Lake P Results'!AA189", 8.11)</f>
        <v>8.11</v>
      </c>
      <c r="AI643" s="29">
        <f>HYPERLINK("[N&amp;P with New retention and Differentiation.xlsx]'Lake P Results'!AA189", 7.414)</f>
        <v>7.4139999999999997</v>
      </c>
      <c r="AJ643" s="13"/>
      <c r="AK643" s="47">
        <f>AI643-AG643</f>
        <v>-0.69599999999999973</v>
      </c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29">
        <f>HYPERLINK("[N&amp;P Old retention.xlsx]'Lake P Results'!M189", 1.59)</f>
        <v>1.59</v>
      </c>
      <c r="AW643" s="13"/>
      <c r="AX643" s="13"/>
      <c r="AY643" s="47">
        <f>AW643-AV643</f>
        <v>-1.59</v>
      </c>
      <c r="AZ643" s="47">
        <f>AX643-AV643</f>
        <v>-1.59</v>
      </c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29">
        <f>HYPERLINK("[N&amp;P Old retention.xlsx]'Lake P Results'!Q189", 1.35409357065302)</f>
        <v>1.3540935706530199</v>
      </c>
      <c r="BL643" s="13"/>
      <c r="BM643" s="13"/>
      <c r="BN643" s="47">
        <f>BL643-BK643</f>
        <v>-1.3540935706530199</v>
      </c>
      <c r="BO643" s="47">
        <f>BM643-BK643</f>
        <v>-1.3540935706530199</v>
      </c>
    </row>
    <row r="644" spans="1:67" x14ac:dyDescent="0.55000000000000004">
      <c r="A644" s="30">
        <v>512</v>
      </c>
      <c r="B644" s="6" t="s">
        <v>503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</row>
    <row r="645" spans="1:67" x14ac:dyDescent="0.55000000000000004">
      <c r="A645" s="31">
        <v>513</v>
      </c>
      <c r="B645" s="5" t="s">
        <v>504</v>
      </c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</row>
    <row r="646" spans="1:67" x14ac:dyDescent="0.55000000000000004">
      <c r="A646" s="30">
        <v>515</v>
      </c>
      <c r="B646" s="6" t="s">
        <v>505</v>
      </c>
      <c r="C646" s="18"/>
      <c r="D646" s="18"/>
      <c r="E646" s="18"/>
      <c r="F646" s="18"/>
      <c r="G646" s="18"/>
      <c r="H646" s="26">
        <f>HYPERLINK("[N&amp;P Old retention.xlsx]'Lake P Results'!AM192", 2200)</f>
        <v>2200</v>
      </c>
      <c r="I646" s="26">
        <f>HYPERLINK("[N&amp;P New retention.xlsx]'Lake P Results'!AM192", 2200)</f>
        <v>2200</v>
      </c>
      <c r="J646" s="26">
        <f>HYPERLINK("[N&amp;P with New retention and Differentiation.xlsx]'Lake P Results'!AM192", 2200)</f>
        <v>2200</v>
      </c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27">
        <f>HYPERLINK("[N&amp;P Old retention.xlsx]'Lake P Results'!M192", 23.62)</f>
        <v>23.62</v>
      </c>
      <c r="AW646" s="27">
        <f>HYPERLINK("[N&amp;P New retention.xlsx]'Lake P Results'!M192", 23.62)</f>
        <v>23.62</v>
      </c>
      <c r="AX646" s="27">
        <f>HYPERLINK("[N&amp;P with New retention and Differentiation.xlsx]'Lake P Results'!M192", 23.62)</f>
        <v>23.62</v>
      </c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</row>
    <row r="647" spans="1:67" x14ac:dyDescent="0.55000000000000004">
      <c r="A647" s="31">
        <v>516</v>
      </c>
      <c r="B647" s="5" t="s">
        <v>506</v>
      </c>
      <c r="C647" s="29">
        <f>HYPERLINK("[N&amp;P Old retention.xlsx]'Lake P Results'!AE193", 15.836)</f>
        <v>15.836</v>
      </c>
      <c r="D647" s="29">
        <f>HYPERLINK("[N&amp;P New retention.xlsx]'Lake P Results'!AE193", 15.836)</f>
        <v>15.836</v>
      </c>
      <c r="E647" s="29">
        <f>HYPERLINK("[N&amp;P with New retention and Differentiation.xlsx]'Lake P Results'!AE193", 15.836)</f>
        <v>15.836</v>
      </c>
      <c r="F647" s="13"/>
      <c r="G647" s="13"/>
      <c r="H647" s="28">
        <f>HYPERLINK("[N&amp;P Old retention.xlsx]'Lake P Results'!AM193", 86000)</f>
        <v>86000</v>
      </c>
      <c r="I647" s="28">
        <f>HYPERLINK("[N&amp;P New retention.xlsx]'Lake P Results'!AM193", 86000)</f>
        <v>86000</v>
      </c>
      <c r="J647" s="28">
        <f>HYPERLINK("[N&amp;P with New retention and Differentiation.xlsx]'Lake P Results'!AM193", 86000)</f>
        <v>86000</v>
      </c>
      <c r="K647" s="13"/>
      <c r="L647" s="13"/>
      <c r="M647" s="29">
        <f>HYPERLINK("[N&amp;P Old retention.xlsx]'Lake P Results'!AC193", 98.948)</f>
        <v>98.947999999999993</v>
      </c>
      <c r="N647" s="29">
        <f>HYPERLINK("[N&amp;P New retention.xlsx]'Lake P Results'!AC193", 110.84)</f>
        <v>110.84</v>
      </c>
      <c r="O647" s="29">
        <f>HYPERLINK("[N&amp;P with New retention and Differentiation.xlsx]'Lake P Results'!AC193", 126.414)</f>
        <v>126.414</v>
      </c>
      <c r="P647" s="46">
        <f>N647-M647</f>
        <v>11.89200000000001</v>
      </c>
      <c r="Q647" s="46">
        <f>O647-M647</f>
        <v>27.466000000000008</v>
      </c>
      <c r="R647" s="29">
        <f>HYPERLINK("[N&amp;P Old retention.xlsx]'Lake P Results'!Y193", 100.638)</f>
        <v>100.63800000000001</v>
      </c>
      <c r="S647" s="29">
        <f>HYPERLINK("[N&amp;P New retention.xlsx]'Lake P Results'!Y193", 80.432)</f>
        <v>80.432000000000002</v>
      </c>
      <c r="T647" s="29">
        <f>HYPERLINK("[N&amp;P with New retention and Differentiation.xlsx]'Lake P Results'!Y193", 67.072)</f>
        <v>67.072000000000003</v>
      </c>
      <c r="U647" s="47">
        <f>S647-R647</f>
        <v>-20.206000000000003</v>
      </c>
      <c r="V647" s="47">
        <f>T647-R647</f>
        <v>-33.566000000000003</v>
      </c>
      <c r="W647" s="29">
        <f>HYPERLINK("[N&amp;P Old retention.xlsx]'Lake P Results'!V193", 133.54)</f>
        <v>133.54</v>
      </c>
      <c r="X647" s="29">
        <f>HYPERLINK("[N&amp;P New retention.xlsx]'Lake P Results'!V193", 133.54)</f>
        <v>133.54</v>
      </c>
      <c r="Y647" s="29">
        <f>HYPERLINK("[N&amp;P with New retention and Differentiation.xlsx]'Lake P Results'!V193", 133.54)</f>
        <v>133.54</v>
      </c>
      <c r="Z647" s="13"/>
      <c r="AA647" s="13"/>
      <c r="AB647" s="29">
        <f>HYPERLINK("[N&amp;P Old retention.xlsx]'Lake P Results'!Z193", 90.426)</f>
        <v>90.426000000000002</v>
      </c>
      <c r="AC647" s="29">
        <f>HYPERLINK("[N&amp;P New retention.xlsx]'Lake P Results'!Z193", 98.74)</f>
        <v>98.74</v>
      </c>
      <c r="AD647" s="29">
        <f>HYPERLINK("[N&amp;P with New retention and Differentiation.xlsx]'Lake P Results'!Z193", 96.526)</f>
        <v>96.525999999999996</v>
      </c>
      <c r="AE647" s="46">
        <f>AC647-AB647</f>
        <v>8.313999999999993</v>
      </c>
      <c r="AF647" s="46">
        <f>AD647-AB647</f>
        <v>6.0999999999999943</v>
      </c>
      <c r="AG647" s="13"/>
      <c r="AH647" s="13"/>
      <c r="AI647" s="13"/>
      <c r="AJ647" s="13"/>
      <c r="AK647" s="13"/>
      <c r="AL647" s="29">
        <f>HYPERLINK("[N&amp;P Old retention.xlsx]'Lake P Results'!AF193", 0.36)</f>
        <v>0.36</v>
      </c>
      <c r="AM647" s="29">
        <f>HYPERLINK("[N&amp;P New retention.xlsx]'Lake P Results'!AF193", 0.36)</f>
        <v>0.36</v>
      </c>
      <c r="AN647" s="29">
        <f>HYPERLINK("[N&amp;P with New retention and Differentiation.xlsx]'Lake P Results'!AF193", 0.36)</f>
        <v>0.36</v>
      </c>
      <c r="AO647" s="13"/>
      <c r="AP647" s="13"/>
      <c r="AQ647" s="28">
        <f>HYPERLINK("[N&amp;P Old retention.xlsx]'Lake P Results'!AH193", 3279.99999998903)</f>
        <v>3279.9999999890301</v>
      </c>
      <c r="AR647" s="28">
        <f>HYPERLINK("[N&amp;P New retention.xlsx]'Lake P Results'!AH193", 3279.99999998903)</f>
        <v>3279.9999999890301</v>
      </c>
      <c r="AS647" s="28">
        <f>HYPERLINK("[N&amp;P with New retention and Differentiation.xlsx]'Lake P Results'!AH193", 3279.99999998903)</f>
        <v>3279.9999999890301</v>
      </c>
      <c r="AT647" s="13"/>
      <c r="AU647" s="13"/>
      <c r="AV647" s="29">
        <f>HYPERLINK("[N&amp;P Old retention.xlsx]'Lake P Results'!M193", 32.58)</f>
        <v>32.58</v>
      </c>
      <c r="AW647" s="29">
        <f>HYPERLINK("[N&amp;P New retention.xlsx]'Lake P Results'!M193", 32.58)</f>
        <v>32.58</v>
      </c>
      <c r="AX647" s="29">
        <f>HYPERLINK("[N&amp;P with New retention and Differentiation.xlsx]'Lake P Results'!M193", 32.58)</f>
        <v>32.58</v>
      </c>
      <c r="AY647" s="13"/>
      <c r="AZ647" s="13"/>
      <c r="BA647" s="29">
        <f>HYPERLINK("[N&amp;P Old retention.xlsx]'Lake P Results'!O193", 3645.312)</f>
        <v>3645.3119999999999</v>
      </c>
      <c r="BB647" s="29">
        <f>HYPERLINK("[N&amp;P New retention.xlsx]'Lake P Results'!O193", 3645.312)</f>
        <v>3645.3119999999999</v>
      </c>
      <c r="BC647" s="29">
        <f>HYPERLINK("[N&amp;P with New retention and Differentiation.xlsx]'Lake P Results'!O193", 3645.312)</f>
        <v>3645.3119999999999</v>
      </c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</row>
    <row r="648" spans="1:67" x14ac:dyDescent="0.55000000000000004">
      <c r="A648" s="30">
        <v>517</v>
      </c>
      <c r="B648" s="6" t="s">
        <v>507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</row>
    <row r="649" spans="1:67" x14ac:dyDescent="0.55000000000000004">
      <c r="A649" s="31">
        <v>520</v>
      </c>
      <c r="B649" s="5" t="s">
        <v>508</v>
      </c>
      <c r="C649" s="13"/>
      <c r="D649" s="13"/>
      <c r="E649" s="13"/>
      <c r="F649" s="13"/>
      <c r="G649" s="13"/>
      <c r="H649" s="28">
        <f>HYPERLINK("[N&amp;P Old retention.xlsx]'Lake P Results'!AM195", 600)</f>
        <v>600</v>
      </c>
      <c r="I649" s="28">
        <f>HYPERLINK("[N&amp;P New retention.xlsx]'Lake P Results'!AM195", 600)</f>
        <v>600</v>
      </c>
      <c r="J649" s="28">
        <f>HYPERLINK("[N&amp;P with New retention and Differentiation.xlsx]'Lake P Results'!AM195", 600)</f>
        <v>600</v>
      </c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</row>
    <row r="650" spans="1:67" x14ac:dyDescent="0.55000000000000004">
      <c r="A650" s="30">
        <v>522</v>
      </c>
      <c r="B650" s="6" t="s">
        <v>509</v>
      </c>
      <c r="C650" s="27">
        <f>HYPERLINK("[N&amp;P Old retention.xlsx]'Lake P Results'!AE196", 0.08)</f>
        <v>0.08</v>
      </c>
      <c r="D650" s="27">
        <f>HYPERLINK("[N&amp;P New retention.xlsx]'Lake P Results'!AE196", 0.08)</f>
        <v>0.08</v>
      </c>
      <c r="E650" s="27">
        <f>HYPERLINK("[N&amp;P with New retention and Differentiation.xlsx]'Lake P Results'!AE196", 0.08)</f>
        <v>0.08</v>
      </c>
      <c r="F650" s="18"/>
      <c r="G650" s="18"/>
      <c r="H650" s="26">
        <f>HYPERLINK("[N&amp;P Old retention.xlsx]'Lake P Results'!AM196", 10600)</f>
        <v>10600</v>
      </c>
      <c r="I650" s="26">
        <f>HYPERLINK("[N&amp;P New retention.xlsx]'Lake P Results'!AM196", 10600)</f>
        <v>10600</v>
      </c>
      <c r="J650" s="26">
        <f>HYPERLINK("[N&amp;P with New retention and Differentiation.xlsx]'Lake P Results'!AM196", 10600)</f>
        <v>10600</v>
      </c>
      <c r="K650" s="18"/>
      <c r="L650" s="18"/>
      <c r="M650" s="27">
        <f>HYPERLINK("[N&amp;P Old retention.xlsx]'Lake P Results'!AC196", 2.54)</f>
        <v>2.54</v>
      </c>
      <c r="N650" s="27">
        <f>HYPERLINK("[N&amp;P New retention.xlsx]'Lake P Results'!AC196", 0.14)</f>
        <v>0.14000000000000001</v>
      </c>
      <c r="O650" s="27">
        <f>HYPERLINK("[N&amp;P with New retention and Differentiation.xlsx]'Lake P Results'!AC196", 2.54)</f>
        <v>2.54</v>
      </c>
      <c r="P650" s="47">
        <f>N650-M650</f>
        <v>-2.4</v>
      </c>
      <c r="Q650" s="18"/>
      <c r="R650" s="18"/>
      <c r="S650" s="18"/>
      <c r="T650" s="18"/>
      <c r="U650" s="18"/>
      <c r="V650" s="18"/>
      <c r="W650" s="27">
        <f>HYPERLINK("[N&amp;P Old retention.xlsx]'Lake P Results'!V196", 4.19)</f>
        <v>4.1900000000000004</v>
      </c>
      <c r="X650" s="27">
        <f>HYPERLINK("[N&amp;P New retention.xlsx]'Lake P Results'!V196", 4.19)</f>
        <v>4.1900000000000004</v>
      </c>
      <c r="Y650" s="27">
        <f>HYPERLINK("[N&amp;P with New retention and Differentiation.xlsx]'Lake P Results'!V196", 4.19)</f>
        <v>4.1900000000000004</v>
      </c>
      <c r="Z650" s="18"/>
      <c r="AA650" s="18"/>
      <c r="AB650" s="18"/>
      <c r="AC650" s="27">
        <f>HYPERLINK("[N&amp;P New retention.xlsx]'Lake P Results'!Z196", 2.4)</f>
        <v>2.4</v>
      </c>
      <c r="AD650" s="18"/>
      <c r="AE650" s="46">
        <f>AC650-AB650</f>
        <v>2.4</v>
      </c>
      <c r="AF650" s="18"/>
      <c r="AG650" s="27">
        <f>HYPERLINK("[N&amp;P Old retention.xlsx]'Lake P Results'!AA196", 5.41)</f>
        <v>5.41</v>
      </c>
      <c r="AH650" s="27">
        <f>HYPERLINK("[N&amp;P New retention.xlsx]'Lake P Results'!AA196", 5.41)</f>
        <v>5.41</v>
      </c>
      <c r="AI650" s="27">
        <f>HYPERLINK("[N&amp;P with New retention and Differentiation.xlsx]'Lake P Results'!AA196", 5.41)</f>
        <v>5.41</v>
      </c>
      <c r="AJ650" s="18"/>
      <c r="AK650" s="18"/>
      <c r="AL650" s="18"/>
      <c r="AM650" s="18"/>
      <c r="AN650" s="18"/>
      <c r="AO650" s="18"/>
      <c r="AP650" s="18"/>
      <c r="AQ650" s="26">
        <f>HYPERLINK("[N&amp;P Old retention.xlsx]'Lake P Results'!AH196", 510)</f>
        <v>510</v>
      </c>
      <c r="AR650" s="26">
        <f>HYPERLINK("[N&amp;P New retention.xlsx]'Lake P Results'!AH196", 510)</f>
        <v>510</v>
      </c>
      <c r="AS650" s="26">
        <f>HYPERLINK("[N&amp;P with New retention and Differentiation.xlsx]'Lake P Results'!AH196", 510)</f>
        <v>510</v>
      </c>
      <c r="AT650" s="18"/>
      <c r="AU650" s="18"/>
      <c r="AV650" s="27">
        <f>HYPERLINK("[N&amp;P Old retention.xlsx]'Lake P Results'!M196", 424.84)</f>
        <v>424.84</v>
      </c>
      <c r="AW650" s="27">
        <f>HYPERLINK("[N&amp;P New retention.xlsx]'Lake P Results'!M196", 424.84)</f>
        <v>424.84</v>
      </c>
      <c r="AX650" s="27">
        <f>HYPERLINK("[N&amp;P with New retention and Differentiation.xlsx]'Lake P Results'!M196", 424.84)</f>
        <v>424.84</v>
      </c>
      <c r="AY650" s="18"/>
      <c r="AZ650" s="18"/>
      <c r="BA650" s="27">
        <f>HYPERLINK("[N&amp;P Old retention.xlsx]'Lake P Results'!O196", 95.412)</f>
        <v>95.412000000000006</v>
      </c>
      <c r="BB650" s="27">
        <f>HYPERLINK("[N&amp;P New retention.xlsx]'Lake P Results'!O196", 95.412)</f>
        <v>95.412000000000006</v>
      </c>
      <c r="BC650" s="27">
        <f>HYPERLINK("[N&amp;P with New retention and Differentiation.xlsx]'Lake P Results'!O196", 95.412)</f>
        <v>95.412000000000006</v>
      </c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</row>
    <row r="651" spans="1:67" x14ac:dyDescent="0.55000000000000004">
      <c r="A651" s="31">
        <v>526</v>
      </c>
      <c r="B651" s="5" t="s">
        <v>510</v>
      </c>
      <c r="C651" s="13"/>
      <c r="D651" s="13"/>
      <c r="E651" s="13"/>
      <c r="F651" s="13"/>
      <c r="G651" s="13"/>
      <c r="H651" s="28">
        <f>HYPERLINK("[N&amp;P Old retention.xlsx]'Lake P Results'!AM197", 5300)</f>
        <v>5300</v>
      </c>
      <c r="I651" s="28">
        <f>HYPERLINK("[N&amp;P New retention.xlsx]'Lake P Results'!AM197", 5300)</f>
        <v>5300</v>
      </c>
      <c r="J651" s="28">
        <f>HYPERLINK("[N&amp;P with New retention and Differentiation.xlsx]'Lake P Results'!AM197", 5300)</f>
        <v>5300</v>
      </c>
      <c r="K651" s="13"/>
      <c r="L651" s="13"/>
      <c r="M651" s="29">
        <f>HYPERLINK("[N&amp;P Old retention.xlsx]'Lake P Results'!AC197", 43.27)</f>
        <v>43.27</v>
      </c>
      <c r="N651" s="29">
        <f>HYPERLINK("[N&amp;P New retention.xlsx]'Lake P Results'!AC197", 43.27)</f>
        <v>43.27</v>
      </c>
      <c r="O651" s="29">
        <f>HYPERLINK("[N&amp;P with New retention and Differentiation.xlsx]'Lake P Results'!AC197", 43.27)</f>
        <v>43.27</v>
      </c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28">
        <f>HYPERLINK("[N&amp;P Old retention.xlsx]'Lake P Results'!AH197", 359.999999999779)</f>
        <v>359.99999999977899</v>
      </c>
      <c r="AR651" s="28">
        <f>HYPERLINK("[N&amp;P New retention.xlsx]'Lake P Results'!AH197", 359.999999999779)</f>
        <v>359.99999999977899</v>
      </c>
      <c r="AS651" s="28">
        <f>HYPERLINK("[N&amp;P with New retention and Differentiation.xlsx]'Lake P Results'!AH197", 359.999999999779)</f>
        <v>359.99999999977899</v>
      </c>
      <c r="AT651" s="16">
        <f>AR651-AQ651</f>
        <v>0</v>
      </c>
      <c r="AU651" s="13"/>
      <c r="AV651" s="29">
        <f>HYPERLINK("[N&amp;P Old retention.xlsx]'Lake P Results'!M197", 246.72)</f>
        <v>246.72</v>
      </c>
      <c r="AW651" s="29">
        <f>HYPERLINK("[N&amp;P New retention.xlsx]'Lake P Results'!M197", 246.72)</f>
        <v>246.72</v>
      </c>
      <c r="AX651" s="29">
        <f>HYPERLINK("[N&amp;P with New retention and Differentiation.xlsx]'Lake P Results'!M197", 246.72)</f>
        <v>246.72</v>
      </c>
      <c r="AY651" s="13"/>
      <c r="AZ651" s="13"/>
      <c r="BA651" s="29">
        <f>HYPERLINK("[N&amp;P Old retention.xlsx]'Lake P Results'!O197", 97.266)</f>
        <v>97.266000000000005</v>
      </c>
      <c r="BB651" s="29">
        <f>HYPERLINK("[N&amp;P New retention.xlsx]'Lake P Results'!O197", 97.266)</f>
        <v>97.266000000000005</v>
      </c>
      <c r="BC651" s="29">
        <f>HYPERLINK("[N&amp;P with New retention and Differentiation.xlsx]'Lake P Results'!O197", 97.266)</f>
        <v>97.266000000000005</v>
      </c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</row>
    <row r="652" spans="1:67" x14ac:dyDescent="0.55000000000000004">
      <c r="A652" s="30">
        <v>528</v>
      </c>
      <c r="B652" s="6" t="s">
        <v>511</v>
      </c>
      <c r="C652" s="18"/>
      <c r="D652" s="18"/>
      <c r="E652" s="18"/>
      <c r="F652" s="18"/>
      <c r="G652" s="18"/>
      <c r="H652" s="26">
        <f>HYPERLINK("[N&amp;P Old retention.xlsx]'Lake P Results'!AM198", 200)</f>
        <v>200</v>
      </c>
      <c r="I652" s="26">
        <f>HYPERLINK("[N&amp;P New retention.xlsx]'Lake P Results'!AM198", 200)</f>
        <v>200</v>
      </c>
      <c r="J652" s="26">
        <f>HYPERLINK("[N&amp;P with New retention and Differentiation.xlsx]'Lake P Results'!AM198", 200)</f>
        <v>200</v>
      </c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27">
        <f>HYPERLINK("[N&amp;P Old retention.xlsx]'Lake P Results'!M198", 5.23)</f>
        <v>5.23</v>
      </c>
      <c r="AW652" s="18"/>
      <c r="AX652" s="18"/>
      <c r="AY652" s="47">
        <f>AW652-AV652</f>
        <v>-5.23</v>
      </c>
      <c r="AZ652" s="47">
        <f>AX652-AV652</f>
        <v>-5.23</v>
      </c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</row>
    <row r="653" spans="1:67" x14ac:dyDescent="0.55000000000000004">
      <c r="A653" s="31">
        <v>529</v>
      </c>
      <c r="B653" s="5" t="s">
        <v>512</v>
      </c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29">
        <f>HYPERLINK("[N&amp;P Old retention.xlsx]'Lake P Results'!Z199", 0.054)</f>
        <v>5.3999999999999999E-2</v>
      </c>
      <c r="AC653" s="29">
        <f>HYPERLINK("[N&amp;P New retention.xlsx]'Lake P Results'!Z199", 0.054)</f>
        <v>5.3999999999999999E-2</v>
      </c>
      <c r="AD653" s="29">
        <f>HYPERLINK("[N&amp;P with New retention and Differentiation.xlsx]'Lake P Results'!Z199", 0.054)</f>
        <v>5.3999999999999999E-2</v>
      </c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29">
        <f>HYPERLINK("[N&amp;P Old retention.xlsx]'Lake P Results'!M199", 1086.366)</f>
        <v>1086.366</v>
      </c>
      <c r="AW653" s="29">
        <f>HYPERLINK("[N&amp;P New retention.xlsx]'Lake P Results'!M199", 72.78)</f>
        <v>72.78</v>
      </c>
      <c r="AX653" s="29">
        <f>HYPERLINK("[N&amp;P with New retention and Differentiation.xlsx]'Lake P Results'!M199", 71.72)</f>
        <v>71.72</v>
      </c>
      <c r="AY653" s="47">
        <f>AW653-AV653</f>
        <v>-1013.586</v>
      </c>
      <c r="AZ653" s="47">
        <f>AX653-AV653</f>
        <v>-1014.646</v>
      </c>
      <c r="BA653" s="29">
        <f>HYPERLINK("[N&amp;P Old retention.xlsx]'Lake P Results'!O199", 214.716)</f>
        <v>214.71600000000001</v>
      </c>
      <c r="BB653" s="13"/>
      <c r="BC653" s="13"/>
      <c r="BD653" s="47">
        <f>BB653-BA653</f>
        <v>-214.71600000000001</v>
      </c>
      <c r="BE653" s="47">
        <f>BC653-BA653</f>
        <v>-214.71600000000001</v>
      </c>
      <c r="BF653" s="13"/>
      <c r="BG653" s="13"/>
      <c r="BH653" s="13"/>
      <c r="BI653" s="13"/>
      <c r="BJ653" s="13"/>
      <c r="BK653" s="29">
        <f>HYPERLINK("[N&amp;P Old retention.xlsx]'Lake P Results'!Q199", 117.823225408269)</f>
        <v>117.823225408269</v>
      </c>
      <c r="BL653" s="29">
        <f>HYPERLINK("[N&amp;P New retention.xlsx]'Lake P Results'!Q199", 48.3052646239554)</f>
        <v>48.305264623955402</v>
      </c>
      <c r="BM653" s="29">
        <f>HYPERLINK("[N&amp;P with New retention and Differentiation.xlsx]'Lake P Results'!Q199", 47.6452646239554)</f>
        <v>47.645264623955399</v>
      </c>
      <c r="BN653" s="47">
        <f>BL653-BK653</f>
        <v>-69.517960784313601</v>
      </c>
      <c r="BO653" s="47">
        <f>BM653-BK653</f>
        <v>-70.177960784313598</v>
      </c>
    </row>
    <row r="654" spans="1:67" x14ac:dyDescent="0.55000000000000004">
      <c r="A654" s="30">
        <v>531</v>
      </c>
      <c r="B654" s="6" t="s">
        <v>513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</row>
    <row r="655" spans="1:67" x14ac:dyDescent="0.55000000000000004">
      <c r="A655" s="31">
        <v>532</v>
      </c>
      <c r="B655" s="5" t="s">
        <v>514</v>
      </c>
      <c r="C655" s="13"/>
      <c r="D655" s="13"/>
      <c r="E655" s="13"/>
      <c r="F655" s="13"/>
      <c r="G655" s="13"/>
      <c r="H655" s="28">
        <f>HYPERLINK("[N&amp;P Old retention.xlsx]'Lake P Results'!AM201", 100)</f>
        <v>100</v>
      </c>
      <c r="I655" s="28">
        <f>HYPERLINK("[N&amp;P New retention.xlsx]'Lake P Results'!AM201", 100)</f>
        <v>100</v>
      </c>
      <c r="J655" s="28">
        <f>HYPERLINK("[N&amp;P with New retention and Differentiation.xlsx]'Lake P Results'!AM201", 100)</f>
        <v>100</v>
      </c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</row>
    <row r="656" spans="1:67" x14ac:dyDescent="0.55000000000000004">
      <c r="A656" s="30">
        <v>534</v>
      </c>
      <c r="B656" s="6" t="s">
        <v>515</v>
      </c>
      <c r="C656" s="27">
        <f>HYPERLINK("[N&amp;P Old retention.xlsx]'Lake P Results'!AE202", 0.539999999999999)</f>
        <v>0.53999999999999904</v>
      </c>
      <c r="D656" s="27">
        <f>HYPERLINK("[N&amp;P New retention.xlsx]'Lake P Results'!AE202", 0.539999999999999)</f>
        <v>0.53999999999999904</v>
      </c>
      <c r="E656" s="27">
        <f>HYPERLINK("[N&amp;P with New retention and Differentiation.xlsx]'Lake P Results'!AE202", 0.539999999999999)</f>
        <v>0.53999999999999904</v>
      </c>
      <c r="F656" s="18"/>
      <c r="G656" s="18"/>
      <c r="H656" s="26">
        <f>HYPERLINK("[N&amp;P Old retention.xlsx]'Lake P Results'!AM202", 14000)</f>
        <v>14000</v>
      </c>
      <c r="I656" s="26">
        <f>HYPERLINK("[N&amp;P New retention.xlsx]'Lake P Results'!AM202", 14000)</f>
        <v>14000</v>
      </c>
      <c r="J656" s="26">
        <f>HYPERLINK("[N&amp;P with New retention and Differentiation.xlsx]'Lake P Results'!AM202", 14000)</f>
        <v>14000</v>
      </c>
      <c r="K656" s="18"/>
      <c r="L656" s="18"/>
      <c r="M656" s="27">
        <f>HYPERLINK("[N&amp;P Old retention.xlsx]'Lake P Results'!AC202", 5.848)</f>
        <v>5.8479999999999999</v>
      </c>
      <c r="N656" s="27">
        <f>HYPERLINK("[N&amp;P New retention.xlsx]'Lake P Results'!AC202", 6.06)</f>
        <v>6.06</v>
      </c>
      <c r="O656" s="27">
        <f>HYPERLINK("[N&amp;P with New retention and Differentiation.xlsx]'Lake P Results'!AC202", 4.7)</f>
        <v>4.7</v>
      </c>
      <c r="P656" s="46">
        <f>N656-M656</f>
        <v>0.21199999999999974</v>
      </c>
      <c r="Q656" s="47">
        <f>O656-M656</f>
        <v>-1.1479999999999997</v>
      </c>
      <c r="R656" s="27">
        <f>HYPERLINK("[N&amp;P Old retention.xlsx]'Lake P Results'!Y202", 4.162)</f>
        <v>4.1619999999999999</v>
      </c>
      <c r="S656" s="27">
        <f>HYPERLINK("[N&amp;P New retention.xlsx]'Lake P Results'!Y202", 4.514)</f>
        <v>4.5140000000000002</v>
      </c>
      <c r="T656" s="27">
        <f>HYPERLINK("[N&amp;P with New retention and Differentiation.xlsx]'Lake P Results'!Y202", 4.85)</f>
        <v>4.8499999999999996</v>
      </c>
      <c r="U656" s="46">
        <f>S656-R656</f>
        <v>0.35200000000000031</v>
      </c>
      <c r="V656" s="46">
        <f>T656-R656</f>
        <v>0.68799999999999972</v>
      </c>
      <c r="W656" s="27">
        <f>HYPERLINK("[N&amp;P Old retention.xlsx]'Lake P Results'!V202", 29.72)</f>
        <v>29.72</v>
      </c>
      <c r="X656" s="27">
        <f>HYPERLINK("[N&amp;P New retention.xlsx]'Lake P Results'!V202", 29.72)</f>
        <v>29.72</v>
      </c>
      <c r="Y656" s="27">
        <f>HYPERLINK("[N&amp;P with New retention and Differentiation.xlsx]'Lake P Results'!V202", 29.72)</f>
        <v>29.72</v>
      </c>
      <c r="Z656" s="18"/>
      <c r="AA656" s="18"/>
      <c r="AB656" s="27">
        <f>HYPERLINK("[N&amp;P Old retention.xlsx]'Lake P Results'!Z202", 7.644)</f>
        <v>7.6440000000000001</v>
      </c>
      <c r="AC656" s="27">
        <f>HYPERLINK("[N&amp;P New retention.xlsx]'Lake P Results'!Z202", 7.08)</f>
        <v>7.08</v>
      </c>
      <c r="AD656" s="27">
        <f>HYPERLINK("[N&amp;P with New retention and Differentiation.xlsx]'Lake P Results'!Z202", 8.104)</f>
        <v>8.1039999999999992</v>
      </c>
      <c r="AE656" s="47">
        <f>AC656-AB656</f>
        <v>-0.56400000000000006</v>
      </c>
      <c r="AF656" s="46">
        <f>AD656-AB656</f>
        <v>0.45999999999999908</v>
      </c>
      <c r="AG656" s="18"/>
      <c r="AH656" s="18"/>
      <c r="AI656" s="18"/>
      <c r="AJ656" s="18"/>
      <c r="AK656" s="18"/>
      <c r="AL656" s="27">
        <f>HYPERLINK("[N&amp;P Old retention.xlsx]'Lake P Results'!AF202", 0.16)</f>
        <v>0.16</v>
      </c>
      <c r="AM656" s="27">
        <f>HYPERLINK("[N&amp;P New retention.xlsx]'Lake P Results'!AF202", 0.16)</f>
        <v>0.16</v>
      </c>
      <c r="AN656" s="27">
        <f>HYPERLINK("[N&amp;P with New retention and Differentiation.xlsx]'Lake P Results'!AF202", 0.16)</f>
        <v>0.16</v>
      </c>
      <c r="AO656" s="18"/>
      <c r="AP656" s="18"/>
      <c r="AQ656" s="26">
        <f>HYPERLINK("[N&amp;P Old retention.xlsx]'Lake P Results'!AH202", 869.999999999749)</f>
        <v>869.99999999974898</v>
      </c>
      <c r="AR656" s="26">
        <f>HYPERLINK("[N&amp;P New retention.xlsx]'Lake P Results'!AH202", 869.999999999749)</f>
        <v>869.99999999974898</v>
      </c>
      <c r="AS656" s="26">
        <f>HYPERLINK("[N&amp;P with New retention and Differentiation.xlsx]'Lake P Results'!AH202", 869.99999999999)</f>
        <v>869.99999999999</v>
      </c>
      <c r="AT656" s="18"/>
      <c r="AU656" s="16">
        <f>AS656-AQ656</f>
        <v>2.4101609596982598E-10</v>
      </c>
      <c r="AV656" s="18"/>
      <c r="AW656" s="18"/>
      <c r="AX656" s="18"/>
      <c r="AY656" s="18"/>
      <c r="AZ656" s="18"/>
      <c r="BA656" s="27">
        <f>HYPERLINK("[N&amp;P Old retention.xlsx]'Lake P Results'!O202", 865.614)</f>
        <v>865.61400000000003</v>
      </c>
      <c r="BB656" s="27">
        <f>HYPERLINK("[N&amp;P New retention.xlsx]'Lake P Results'!O202", 865.614)</f>
        <v>865.61400000000003</v>
      </c>
      <c r="BC656" s="27">
        <f>HYPERLINK("[N&amp;P with New retention and Differentiation.xlsx]'Lake P Results'!O202", 865.614)</f>
        <v>865.61400000000003</v>
      </c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</row>
    <row r="657" spans="1:67" x14ac:dyDescent="0.55000000000000004">
      <c r="A657" s="31">
        <v>538</v>
      </c>
      <c r="B657" s="5" t="s">
        <v>516</v>
      </c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29">
        <f>HYPERLINK("[N&amp;P Old retention.xlsx]'Lake P Results'!Q203", 0.05)</f>
        <v>0.05</v>
      </c>
      <c r="BL657" s="29">
        <f>HYPERLINK("[N&amp;P New retention.xlsx]'Lake P Results'!Q203", 0.05)</f>
        <v>0.05</v>
      </c>
      <c r="BM657" s="29">
        <f>HYPERLINK("[N&amp;P with New retention and Differentiation.xlsx]'Lake P Results'!Q203", 0.05)</f>
        <v>0.05</v>
      </c>
      <c r="BN657" s="13"/>
      <c r="BO657" s="13"/>
    </row>
    <row r="658" spans="1:67" x14ac:dyDescent="0.55000000000000004">
      <c r="A658" s="30">
        <v>539</v>
      </c>
      <c r="B658" s="6" t="s">
        <v>517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27">
        <f>HYPERLINK("[N&amp;P Old retention.xlsx]'Lake P Results'!M204", 52.84)</f>
        <v>52.84</v>
      </c>
      <c r="AW658" s="18"/>
      <c r="AX658" s="18"/>
      <c r="AY658" s="47">
        <f>AW658-AV658</f>
        <v>-52.84</v>
      </c>
      <c r="AZ658" s="47">
        <f>AX658-AV658</f>
        <v>-52.84</v>
      </c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27">
        <f>HYPERLINK("[N&amp;P Old retention.xlsx]'Lake P Results'!Q204", 3.63)</f>
        <v>3.63</v>
      </c>
      <c r="BL658" s="27">
        <f>HYPERLINK("[N&amp;P New retention.xlsx]'Lake P Results'!Q204", 3.26)</f>
        <v>3.26</v>
      </c>
      <c r="BM658" s="27">
        <f>HYPERLINK("[N&amp;P with New retention and Differentiation.xlsx]'Lake P Results'!Q204", 3.26)</f>
        <v>3.26</v>
      </c>
      <c r="BN658" s="47">
        <f>BL658-BK658</f>
        <v>-0.37000000000000011</v>
      </c>
      <c r="BO658" s="47">
        <f>BM658-BK658</f>
        <v>-0.37000000000000011</v>
      </c>
    </row>
    <row r="659" spans="1:67" x14ac:dyDescent="0.55000000000000004">
      <c r="A659" s="31">
        <v>541</v>
      </c>
      <c r="B659" s="5" t="s">
        <v>518</v>
      </c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</row>
    <row r="660" spans="1:67" x14ac:dyDescent="0.55000000000000004">
      <c r="A660" s="30">
        <v>542</v>
      </c>
      <c r="B660" s="6" t="s">
        <v>519</v>
      </c>
      <c r="C660" s="18"/>
      <c r="D660" s="18"/>
      <c r="E660" s="18"/>
      <c r="F660" s="18"/>
      <c r="G660" s="18"/>
      <c r="H660" s="26">
        <f>HYPERLINK("[N&amp;P Old retention.xlsx]'Lake P Results'!AM206", 300)</f>
        <v>300</v>
      </c>
      <c r="I660" s="26">
        <f>HYPERLINK("[N&amp;P New retention.xlsx]'Lake P Results'!AM206", 300)</f>
        <v>300</v>
      </c>
      <c r="J660" s="26">
        <f>HYPERLINK("[N&amp;P with New retention and Differentiation.xlsx]'Lake P Results'!AM206", 300)</f>
        <v>300</v>
      </c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</row>
    <row r="661" spans="1:67" x14ac:dyDescent="0.55000000000000004">
      <c r="A661" s="31">
        <v>543</v>
      </c>
      <c r="B661" s="5" t="s">
        <v>520</v>
      </c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29">
        <f>HYPERLINK("[N&amp;P Old retention.xlsx]'Lake P Results'!M207", 0.76)</f>
        <v>0.76</v>
      </c>
      <c r="AW661" s="13"/>
      <c r="AX661" s="13"/>
      <c r="AY661" s="47">
        <f>AW661-AV661</f>
        <v>-0.76</v>
      </c>
      <c r="AZ661" s="47">
        <f>AX661-AV661</f>
        <v>-0.76</v>
      </c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</row>
    <row r="662" spans="1:67" x14ac:dyDescent="0.55000000000000004">
      <c r="A662" s="30">
        <v>544</v>
      </c>
      <c r="B662" s="6" t="s">
        <v>521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</row>
    <row r="663" spans="1:67" x14ac:dyDescent="0.55000000000000004">
      <c r="A663" s="31">
        <v>545</v>
      </c>
      <c r="B663" s="5" t="s">
        <v>522</v>
      </c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29">
        <f>HYPERLINK("[N&amp;P New retention.xlsx]'Lake P Results'!AC209", 3.32)</f>
        <v>3.32</v>
      </c>
      <c r="O663" s="13"/>
      <c r="P663" s="46">
        <f>N663-M663</f>
        <v>3.32</v>
      </c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29">
        <f>HYPERLINK("[N&amp;P Old retention.xlsx]'Lake P Results'!Z209", 3.32)</f>
        <v>3.32</v>
      </c>
      <c r="AC663" s="13"/>
      <c r="AD663" s="29">
        <f>HYPERLINK("[N&amp;P with New retention and Differentiation.xlsx]'Lake P Results'!Z209", 3.32)</f>
        <v>3.32</v>
      </c>
      <c r="AE663" s="47">
        <f>AC663-AB663</f>
        <v>-3.32</v>
      </c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29">
        <f>HYPERLINK("[N&amp;P Old retention.xlsx]'Lake P Results'!M209", 2.84)</f>
        <v>2.84</v>
      </c>
      <c r="AW663" s="29">
        <f>HYPERLINK("[N&amp;P New retention.xlsx]'Lake P Results'!M209", 2.84)</f>
        <v>2.84</v>
      </c>
      <c r="AX663" s="29">
        <f>HYPERLINK("[N&amp;P with New retention and Differentiation.xlsx]'Lake P Results'!M209", 2.84)</f>
        <v>2.84</v>
      </c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</row>
    <row r="664" spans="1:67" x14ac:dyDescent="0.55000000000000004">
      <c r="A664" s="30">
        <v>546</v>
      </c>
      <c r="B664" s="6" t="s">
        <v>523</v>
      </c>
      <c r="C664" s="27">
        <f>HYPERLINK("[N&amp;P Old retention.xlsx]'Lake P Results'!AE210", 0.22)</f>
        <v>0.22</v>
      </c>
      <c r="D664" s="27">
        <f>HYPERLINK("[N&amp;P New retention.xlsx]'Lake P Results'!AE210", 0.22)</f>
        <v>0.22</v>
      </c>
      <c r="E664" s="27">
        <f>HYPERLINK("[N&amp;P with New retention and Differentiation.xlsx]'Lake P Results'!AE210", 0.22)</f>
        <v>0.22</v>
      </c>
      <c r="F664" s="18"/>
      <c r="G664" s="18"/>
      <c r="H664" s="26">
        <f>HYPERLINK("[N&amp;P Old retention.xlsx]'Lake P Results'!AM210", 6700)</f>
        <v>6700</v>
      </c>
      <c r="I664" s="26">
        <f>HYPERLINK("[N&amp;P New retention.xlsx]'Lake P Results'!AM210", 6700)</f>
        <v>6700</v>
      </c>
      <c r="J664" s="26">
        <f>HYPERLINK("[N&amp;P with New retention and Differentiation.xlsx]'Lake P Results'!AM210", 6700)</f>
        <v>6700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26">
        <f>HYPERLINK("[N&amp;P Old retention.xlsx]'Lake P Results'!AH210", 20)</f>
        <v>20</v>
      </c>
      <c r="AR664" s="26">
        <f>HYPERLINK("[N&amp;P New retention.xlsx]'Lake P Results'!AH210", 20)</f>
        <v>20</v>
      </c>
      <c r="AS664" s="26">
        <f>HYPERLINK("[N&amp;P with New retention and Differentiation.xlsx]'Lake P Results'!AH210", 20)</f>
        <v>20</v>
      </c>
      <c r="AT664" s="18"/>
      <c r="AU664" s="18"/>
      <c r="AV664" s="27">
        <f>HYPERLINK("[N&amp;P Old retention.xlsx]'Lake P Results'!M210", 51.33)</f>
        <v>51.33</v>
      </c>
      <c r="AW664" s="27">
        <f>HYPERLINK("[N&amp;P New retention.xlsx]'Lake P Results'!M210", 51.33)</f>
        <v>51.33</v>
      </c>
      <c r="AX664" s="27">
        <f>HYPERLINK("[N&amp;P with New retention and Differentiation.xlsx]'Lake P Results'!M210", 51.33)</f>
        <v>51.33</v>
      </c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</row>
    <row r="665" spans="1:67" x14ac:dyDescent="0.55000000000000004">
      <c r="A665" s="31">
        <v>547</v>
      </c>
      <c r="B665" s="5" t="s">
        <v>524</v>
      </c>
      <c r="C665" s="13"/>
      <c r="D665" s="13"/>
      <c r="E665" s="13"/>
      <c r="F665" s="13"/>
      <c r="G665" s="13"/>
      <c r="H665" s="28">
        <f>HYPERLINK("[N&amp;P Old retention.xlsx]'Lake P Results'!AM211", 500)</f>
        <v>500</v>
      </c>
      <c r="I665" s="28">
        <f>HYPERLINK("[N&amp;P New retention.xlsx]'Lake P Results'!AM211", 500)</f>
        <v>500</v>
      </c>
      <c r="J665" s="28">
        <f>HYPERLINK("[N&amp;P with New retention and Differentiation.xlsx]'Lake P Results'!AM211", 500)</f>
        <v>500</v>
      </c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29">
        <f>HYPERLINK("[N&amp;P Old retention.xlsx]'Lake P Results'!M211", 1.67)</f>
        <v>1.67</v>
      </c>
      <c r="AW665" s="29">
        <f>HYPERLINK("[N&amp;P New retention.xlsx]'Lake P Results'!M211", 1.67)</f>
        <v>1.67</v>
      </c>
      <c r="AX665" s="29">
        <f>HYPERLINK("[N&amp;P with New retention and Differentiation.xlsx]'Lake P Results'!M211", 1.67)</f>
        <v>1.67</v>
      </c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</row>
    <row r="666" spans="1:67" x14ac:dyDescent="0.55000000000000004">
      <c r="A666" s="30">
        <v>548</v>
      </c>
      <c r="B666" s="6" t="s">
        <v>525</v>
      </c>
      <c r="C666" s="18"/>
      <c r="D666" s="18"/>
      <c r="E666" s="18"/>
      <c r="F666" s="18"/>
      <c r="G666" s="18"/>
      <c r="H666" s="26">
        <f>HYPERLINK("[N&amp;P Old retention.xlsx]'Lake P Results'!AM212", 3100)</f>
        <v>3100</v>
      </c>
      <c r="I666" s="26">
        <f>HYPERLINK("[N&amp;P New retention.xlsx]'Lake P Results'!AM212", 3100)</f>
        <v>3100</v>
      </c>
      <c r="J666" s="26">
        <f>HYPERLINK("[N&amp;P with New retention and Differentiation.xlsx]'Lake P Results'!AM212", 3100)</f>
        <v>3100</v>
      </c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</row>
    <row r="667" spans="1:67" x14ac:dyDescent="0.55000000000000004">
      <c r="A667" s="31">
        <v>550</v>
      </c>
      <c r="B667" s="5" t="s">
        <v>526</v>
      </c>
      <c r="C667" s="29">
        <f>HYPERLINK("[N&amp;P Old retention.xlsx]'Lake P Results'!AE213", 0.19)</f>
        <v>0.19</v>
      </c>
      <c r="D667" s="29">
        <f>HYPERLINK("[N&amp;P New retention.xlsx]'Lake P Results'!AE213", 0.19)</f>
        <v>0.19</v>
      </c>
      <c r="E667" s="29">
        <f>HYPERLINK("[N&amp;P with New retention and Differentiation.xlsx]'Lake P Results'!AE213", 0.19)</f>
        <v>0.19</v>
      </c>
      <c r="F667" s="13"/>
      <c r="G667" s="13"/>
      <c r="H667" s="28">
        <f>HYPERLINK("[N&amp;P Old retention.xlsx]'Lake P Results'!AM213", 900)</f>
        <v>900</v>
      </c>
      <c r="I667" s="28">
        <f>HYPERLINK("[N&amp;P New retention.xlsx]'Lake P Results'!AM213", 900)</f>
        <v>900</v>
      </c>
      <c r="J667" s="28">
        <f>HYPERLINK("[N&amp;P with New retention and Differentiation.xlsx]'Lake P Results'!AM213", 900)</f>
        <v>900</v>
      </c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29">
        <f>HYPERLINK("[N&amp;P Old retention.xlsx]'Lake P Results'!V213", 2.536)</f>
        <v>2.536</v>
      </c>
      <c r="X667" s="29">
        <f>HYPERLINK("[N&amp;P New retention.xlsx]'Lake P Results'!V213", 2.536)</f>
        <v>2.536</v>
      </c>
      <c r="Y667" s="29">
        <f>HYPERLINK("[N&amp;P with New retention and Differentiation.xlsx]'Lake P Results'!V213", 2.536)</f>
        <v>2.536</v>
      </c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28">
        <f>HYPERLINK("[N&amp;P Old retention.xlsx]'Lake P Results'!AH213", 20)</f>
        <v>20</v>
      </c>
      <c r="AR667" s="28">
        <f>HYPERLINK("[N&amp;P New retention.xlsx]'Lake P Results'!AH213", 20)</f>
        <v>20</v>
      </c>
      <c r="AS667" s="28">
        <f>HYPERLINK("[N&amp;P with New retention and Differentiation.xlsx]'Lake P Results'!AH213", 20)</f>
        <v>20</v>
      </c>
      <c r="AT667" s="13"/>
      <c r="AU667" s="13"/>
      <c r="AV667" s="13"/>
      <c r="AW667" s="13"/>
      <c r="AX667" s="13"/>
      <c r="AY667" s="13"/>
      <c r="AZ667" s="13"/>
      <c r="BA667" s="29">
        <f>HYPERLINK("[N&amp;P Old retention.xlsx]'Lake P Results'!O213", 27.978)</f>
        <v>27.978000000000002</v>
      </c>
      <c r="BB667" s="29">
        <f>HYPERLINK("[N&amp;P New retention.xlsx]'Lake P Results'!O213", 27.978)</f>
        <v>27.978000000000002</v>
      </c>
      <c r="BC667" s="29">
        <f>HYPERLINK("[N&amp;P with New retention and Differentiation.xlsx]'Lake P Results'!O213", 27.978)</f>
        <v>27.978000000000002</v>
      </c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</row>
    <row r="668" spans="1:67" x14ac:dyDescent="0.55000000000000004">
      <c r="A668" s="30">
        <v>552</v>
      </c>
      <c r="B668" s="6" t="s">
        <v>527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27">
        <f>HYPERLINK("[N&amp;P Old retention.xlsx]'Lake P Results'!M214", 18.04)</f>
        <v>18.04</v>
      </c>
      <c r="AW668" s="18"/>
      <c r="AX668" s="18"/>
      <c r="AY668" s="47">
        <f>AW668-AV668</f>
        <v>-18.04</v>
      </c>
      <c r="AZ668" s="47">
        <f>AX668-AV668</f>
        <v>-18.04</v>
      </c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</row>
    <row r="669" spans="1:67" x14ac:dyDescent="0.55000000000000004">
      <c r="A669" s="31">
        <v>553</v>
      </c>
      <c r="B669" s="5" t="s">
        <v>528</v>
      </c>
      <c r="C669" s="13"/>
      <c r="D669" s="13"/>
      <c r="E669" s="13"/>
      <c r="F669" s="13"/>
      <c r="G669" s="13"/>
      <c r="H669" s="28">
        <f>HYPERLINK("[N&amp;P Old retention.xlsx]'Lake P Results'!AM215", 40200)</f>
        <v>40200</v>
      </c>
      <c r="I669" s="28">
        <f>HYPERLINK("[N&amp;P New retention.xlsx]'Lake P Results'!AM215", 40200)</f>
        <v>40200</v>
      </c>
      <c r="J669" s="28">
        <f>HYPERLINK("[N&amp;P with New retention and Differentiation.xlsx]'Lake P Results'!AM215", 40200)</f>
        <v>40200</v>
      </c>
      <c r="K669" s="13"/>
      <c r="L669" s="13"/>
      <c r="M669" s="29">
        <f>HYPERLINK("[N&amp;P Old retention.xlsx]'Lake P Results'!AC215", 7.648)</f>
        <v>7.6479999999999997</v>
      </c>
      <c r="N669" s="29">
        <f>HYPERLINK("[N&amp;P New retention.xlsx]'Lake P Results'!AC215", 7.648)</f>
        <v>7.6479999999999997</v>
      </c>
      <c r="O669" s="29">
        <f>HYPERLINK("[N&amp;P with New retention and Differentiation.xlsx]'Lake P Results'!AC215", 7.648)</f>
        <v>7.6479999999999997</v>
      </c>
      <c r="P669" s="13"/>
      <c r="Q669" s="13"/>
      <c r="R669" s="13"/>
      <c r="S669" s="13"/>
      <c r="T669" s="13"/>
      <c r="U669" s="13"/>
      <c r="V669" s="13"/>
      <c r="W669" s="29">
        <f>HYPERLINK("[N&amp;P Old retention.xlsx]'Lake P Results'!V215", 6.71)</f>
        <v>6.71</v>
      </c>
      <c r="X669" s="29">
        <f>HYPERLINK("[N&amp;P New retention.xlsx]'Lake P Results'!V215", 6.71)</f>
        <v>6.71</v>
      </c>
      <c r="Y669" s="29">
        <f>HYPERLINK("[N&amp;P with New retention and Differentiation.xlsx]'Lake P Results'!V215", 6.71)</f>
        <v>6.71</v>
      </c>
      <c r="Z669" s="13"/>
      <c r="AA669" s="13"/>
      <c r="AB669" s="29">
        <f>HYPERLINK("[N&amp;P Old retention.xlsx]'Lake P Results'!Z215", 8.086)</f>
        <v>8.0860000000000003</v>
      </c>
      <c r="AC669" s="29">
        <f>HYPERLINK("[N&amp;P New retention.xlsx]'Lake P Results'!Z215", 8.086)</f>
        <v>8.0860000000000003</v>
      </c>
      <c r="AD669" s="29">
        <f>HYPERLINK("[N&amp;P with New retention and Differentiation.xlsx]'Lake P Results'!Z215", 8.086)</f>
        <v>8.0860000000000003</v>
      </c>
      <c r="AE669" s="13"/>
      <c r="AF669" s="13"/>
      <c r="AG669" s="29">
        <f>HYPERLINK("[N&amp;P Old retention.xlsx]'Lake P Results'!AA215", 1.818)</f>
        <v>1.8180000000000001</v>
      </c>
      <c r="AH669" s="29">
        <f>HYPERLINK("[N&amp;P New retention.xlsx]'Lake P Results'!AA215", 1.818)</f>
        <v>1.8180000000000001</v>
      </c>
      <c r="AI669" s="29">
        <f>HYPERLINK("[N&amp;P with New retention and Differentiation.xlsx]'Lake P Results'!AA215", 1.818)</f>
        <v>1.8180000000000001</v>
      </c>
      <c r="AJ669" s="13"/>
      <c r="AK669" s="13"/>
      <c r="AL669" s="29">
        <f>HYPERLINK("[N&amp;P Old retention.xlsx]'Lake P Results'!AF215", 0.15)</f>
        <v>0.15</v>
      </c>
      <c r="AM669" s="29">
        <f>HYPERLINK("[N&amp;P New retention.xlsx]'Lake P Results'!AF215", 0.15)</f>
        <v>0.15</v>
      </c>
      <c r="AN669" s="29">
        <f>HYPERLINK("[N&amp;P with New retention and Differentiation.xlsx]'Lake P Results'!AF215", 0.15)</f>
        <v>0.15</v>
      </c>
      <c r="AO669" s="13"/>
      <c r="AP669" s="13"/>
      <c r="AQ669" s="28">
        <f>HYPERLINK("[N&amp;P Old retention.xlsx]'Lake P Results'!AH215", 410)</f>
        <v>410</v>
      </c>
      <c r="AR669" s="28">
        <f>HYPERLINK("[N&amp;P New retention.xlsx]'Lake P Results'!AH215", 410)</f>
        <v>410</v>
      </c>
      <c r="AS669" s="28">
        <f>HYPERLINK("[N&amp;P with New retention and Differentiation.xlsx]'Lake P Results'!AH215", 410)</f>
        <v>410</v>
      </c>
      <c r="AT669" s="13"/>
      <c r="AU669" s="13"/>
      <c r="AV669" s="29">
        <f>HYPERLINK("[N&amp;P Old retention.xlsx]'Lake P Results'!M215", 236.19)</f>
        <v>236.19</v>
      </c>
      <c r="AW669" s="29">
        <f>HYPERLINK("[N&amp;P New retention.xlsx]'Lake P Results'!M215", 236.19)</f>
        <v>236.19</v>
      </c>
      <c r="AX669" s="29">
        <f>HYPERLINK("[N&amp;P with New retention and Differentiation.xlsx]'Lake P Results'!M215", 236.19)</f>
        <v>236.19</v>
      </c>
      <c r="AY669" s="13"/>
      <c r="AZ669" s="13"/>
      <c r="BA669" s="29">
        <f>HYPERLINK("[N&amp;P Old retention.xlsx]'Lake P Results'!O215", 63.798)</f>
        <v>63.798000000000002</v>
      </c>
      <c r="BB669" s="29">
        <f>HYPERLINK("[N&amp;P New retention.xlsx]'Lake P Results'!O215", 63.798)</f>
        <v>63.798000000000002</v>
      </c>
      <c r="BC669" s="29">
        <f>HYPERLINK("[N&amp;P with New retention and Differentiation.xlsx]'Lake P Results'!O215", 63.798)</f>
        <v>63.798000000000002</v>
      </c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</row>
    <row r="670" spans="1:67" x14ac:dyDescent="0.55000000000000004">
      <c r="A670" s="30">
        <v>555</v>
      </c>
      <c r="B670" s="6" t="s">
        <v>529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27">
        <f>HYPERLINK("[N&amp;P Old retention.xlsx]'Lake P Results'!Q216", 0.06)</f>
        <v>0.06</v>
      </c>
      <c r="BL670" s="18"/>
      <c r="BM670" s="18"/>
      <c r="BN670" s="47">
        <f>BL670-BK670</f>
        <v>-0.06</v>
      </c>
      <c r="BO670" s="47">
        <f>BM670-BK670</f>
        <v>-0.06</v>
      </c>
    </row>
    <row r="671" spans="1:67" x14ac:dyDescent="0.55000000000000004">
      <c r="A671" s="31">
        <v>556</v>
      </c>
      <c r="B671" s="5" t="s">
        <v>530</v>
      </c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</row>
    <row r="672" spans="1:67" x14ac:dyDescent="0.55000000000000004">
      <c r="A672" s="30">
        <v>558</v>
      </c>
      <c r="B672" s="6" t="s">
        <v>531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</row>
    <row r="673" spans="1:67" x14ac:dyDescent="0.55000000000000004">
      <c r="A673" s="31">
        <v>564</v>
      </c>
      <c r="B673" s="5" t="s">
        <v>532</v>
      </c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</row>
    <row r="674" spans="1:67" x14ac:dyDescent="0.55000000000000004">
      <c r="A674" s="30">
        <v>567</v>
      </c>
      <c r="B674" s="6" t="s">
        <v>533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27">
        <f>HYPERLINK("[N&amp;P Old retention.xlsx]'Lake P Results'!Q220", 0.0639999999999999)</f>
        <v>6.3999999999999904E-2</v>
      </c>
      <c r="BL674" s="27">
        <f>HYPERLINK("[N&amp;P New retention.xlsx]'Lake P Results'!Q220", 0.0639999999999999)</f>
        <v>6.3999999999999904E-2</v>
      </c>
      <c r="BM674" s="27">
        <f>HYPERLINK("[N&amp;P with New retention and Differentiation.xlsx]'Lake P Results'!Q220", 0.0639999999999999)</f>
        <v>6.3999999999999904E-2</v>
      </c>
      <c r="BN674" s="18"/>
      <c r="BO674" s="18"/>
    </row>
    <row r="675" spans="1:67" x14ac:dyDescent="0.55000000000000004">
      <c r="A675" s="31">
        <v>568</v>
      </c>
      <c r="B675" s="5" t="s">
        <v>534</v>
      </c>
      <c r="C675" s="13"/>
      <c r="D675" s="13"/>
      <c r="E675" s="13"/>
      <c r="F675" s="13"/>
      <c r="G675" s="13"/>
      <c r="H675" s="13"/>
      <c r="I675" s="28">
        <f>HYPERLINK("[N&amp;P New retention.xlsx]'Lake P Results'!AM221", 100)</f>
        <v>100</v>
      </c>
      <c r="J675" s="28">
        <f>HYPERLINK("[N&amp;P with New retention and Differentiation.xlsx]'Lake P Results'!AM221", 100)</f>
        <v>100</v>
      </c>
      <c r="K675" s="16">
        <f>I675-H675</f>
        <v>100</v>
      </c>
      <c r="L675" s="16">
        <f>J675-H675</f>
        <v>100</v>
      </c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</row>
    <row r="676" spans="1:67" x14ac:dyDescent="0.55000000000000004">
      <c r="A676" s="30">
        <v>569</v>
      </c>
      <c r="B676" s="6" t="s">
        <v>535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27">
        <f>HYPERLINK("[N&amp;P Old retention.xlsx]'Lake P Results'!AA222", 43.47)</f>
        <v>43.47</v>
      </c>
      <c r="AH676" s="27">
        <f>HYPERLINK("[N&amp;P New retention.xlsx]'Lake P Results'!AA222", 14.86)</f>
        <v>14.86</v>
      </c>
      <c r="AI676" s="18"/>
      <c r="AJ676" s="47">
        <f>AH676-AG676</f>
        <v>-28.61</v>
      </c>
      <c r="AK676" s="47">
        <f>AI676-AG676</f>
        <v>-43.47</v>
      </c>
      <c r="AL676" s="18"/>
      <c r="AM676" s="18"/>
      <c r="AN676" s="18"/>
      <c r="AO676" s="18"/>
      <c r="AP676" s="18"/>
      <c r="AQ676" s="26">
        <f>HYPERLINK("[N&amp;P Old retention.xlsx]'Lake P Results'!AH222", 50)</f>
        <v>50</v>
      </c>
      <c r="AR676" s="26">
        <f>HYPERLINK("[N&amp;P New retention.xlsx]'Lake P Results'!AH222", 20)</f>
        <v>20</v>
      </c>
      <c r="AS676" s="18"/>
      <c r="AT676" s="21">
        <f>AR676-AQ676</f>
        <v>-30</v>
      </c>
      <c r="AU676" s="21">
        <f>AS676-AQ676</f>
        <v>-50</v>
      </c>
      <c r="AV676" s="27">
        <f>HYPERLINK("[N&amp;P Old retention.xlsx]'Lake P Results'!M222", 14.86)</f>
        <v>14.86</v>
      </c>
      <c r="AW676" s="18"/>
      <c r="AX676" s="27">
        <f>HYPERLINK("[N&amp;P with New retention and Differentiation.xlsx]'Lake P Results'!M222", 14.86)</f>
        <v>14.86</v>
      </c>
      <c r="AY676" s="47">
        <f>AW676-AV676</f>
        <v>-14.86</v>
      </c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</row>
    <row r="677" spans="1:67" x14ac:dyDescent="0.55000000000000004">
      <c r="A677" s="31">
        <v>570</v>
      </c>
      <c r="B677" s="5" t="s">
        <v>536</v>
      </c>
      <c r="C677" s="29">
        <f>HYPERLINK("[N&amp;P Old retention.xlsx]'Lake P Results'!AE223", 0.19)</f>
        <v>0.19</v>
      </c>
      <c r="D677" s="29">
        <f>HYPERLINK("[N&amp;P New retention.xlsx]'Lake P Results'!AE223", 0.19)</f>
        <v>0.19</v>
      </c>
      <c r="E677" s="29">
        <f>HYPERLINK("[N&amp;P with New retention and Differentiation.xlsx]'Lake P Results'!AE223", 0.19)</f>
        <v>0.19</v>
      </c>
      <c r="F677" s="13"/>
      <c r="G677" s="13"/>
      <c r="H677" s="28">
        <f>HYPERLINK("[N&amp;P Old retention.xlsx]'Lake P Results'!AM223", 900)</f>
        <v>900</v>
      </c>
      <c r="I677" s="28">
        <f>HYPERLINK("[N&amp;P New retention.xlsx]'Lake P Results'!AM223", 1100)</f>
        <v>1100</v>
      </c>
      <c r="J677" s="28">
        <f>HYPERLINK("[N&amp;P with New retention and Differentiation.xlsx]'Lake P Results'!AM223", 1200)</f>
        <v>1200</v>
      </c>
      <c r="K677" s="16">
        <f>I677-H677</f>
        <v>200</v>
      </c>
      <c r="L677" s="16">
        <f>J677-H677</f>
        <v>300</v>
      </c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29">
        <f>HYPERLINK("[N&amp;P Old retention.xlsx]'Lake P Results'!AA223", 4.19)</f>
        <v>4.1900000000000004</v>
      </c>
      <c r="AH677" s="29">
        <f>HYPERLINK("[N&amp;P New retention.xlsx]'Lake P Results'!AA223", 4.19)</f>
        <v>4.1900000000000004</v>
      </c>
      <c r="AI677" s="29">
        <f>HYPERLINK("[N&amp;P with New retention and Differentiation.xlsx]'Lake P Results'!AA223", 4.19)</f>
        <v>4.1900000000000004</v>
      </c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29">
        <f>HYPERLINK("[N&amp;P Old retention.xlsx]'Lake P Results'!Q223", 0.23)</f>
        <v>0.23</v>
      </c>
      <c r="BL677" s="13"/>
      <c r="BM677" s="13"/>
      <c r="BN677" s="47">
        <f>BL677-BK677</f>
        <v>-0.23</v>
      </c>
      <c r="BO677" s="47">
        <f>BM677-BK677</f>
        <v>-0.23</v>
      </c>
    </row>
    <row r="678" spans="1:67" x14ac:dyDescent="0.55000000000000004">
      <c r="A678" s="30">
        <v>574</v>
      </c>
      <c r="B678" s="6" t="s">
        <v>537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27">
        <f>HYPERLINK("[N&amp;P Old retention.xlsx]'Lake P Results'!M224", 70.27)</f>
        <v>70.27</v>
      </c>
      <c r="AW678" s="18"/>
      <c r="AX678" s="18"/>
      <c r="AY678" s="47">
        <f>AW678-AV678</f>
        <v>-70.27</v>
      </c>
      <c r="AZ678" s="47">
        <f>AX678-AV678</f>
        <v>-70.27</v>
      </c>
      <c r="BA678" s="18"/>
      <c r="BB678" s="18"/>
      <c r="BC678" s="18"/>
      <c r="BD678" s="18"/>
      <c r="BE678" s="18"/>
      <c r="BF678" s="27">
        <f>HYPERLINK("[N&amp;P Old retention.xlsx]'Lake P Results'!R224", 5.952)</f>
        <v>5.952</v>
      </c>
      <c r="BG678" s="18"/>
      <c r="BH678" s="18"/>
      <c r="BI678" s="47">
        <f>BG678-BF678</f>
        <v>-5.952</v>
      </c>
      <c r="BJ678" s="47">
        <f>BH678-BF678</f>
        <v>-5.952</v>
      </c>
      <c r="BK678" s="27">
        <f>HYPERLINK("[N&amp;P Old retention.xlsx]'Lake P Results'!Q224", 8.8)</f>
        <v>8.8000000000000007</v>
      </c>
      <c r="BL678" s="27">
        <f>HYPERLINK("[N&amp;P New retention.xlsx]'Lake P Results'!Q224", 3.94)</f>
        <v>3.94</v>
      </c>
      <c r="BM678" s="27">
        <f>HYPERLINK("[N&amp;P with New retention and Differentiation.xlsx]'Lake P Results'!Q224", 3.94)</f>
        <v>3.94</v>
      </c>
      <c r="BN678" s="47">
        <f>BL678-BK678</f>
        <v>-4.8600000000000012</v>
      </c>
      <c r="BO678" s="47">
        <f>BM678-BK678</f>
        <v>-4.8600000000000012</v>
      </c>
    </row>
    <row r="679" spans="1:67" x14ac:dyDescent="0.55000000000000004">
      <c r="A679" s="31">
        <v>576</v>
      </c>
      <c r="B679" s="5" t="s">
        <v>538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</row>
    <row r="680" spans="1:67" x14ac:dyDescent="0.55000000000000004">
      <c r="A680" s="30">
        <v>577</v>
      </c>
      <c r="B680" s="6" t="s">
        <v>539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</row>
    <row r="681" spans="1:67" x14ac:dyDescent="0.55000000000000004">
      <c r="A681" s="31">
        <v>578</v>
      </c>
      <c r="B681" s="5" t="s">
        <v>540</v>
      </c>
      <c r="C681" s="29">
        <f>HYPERLINK("[N&amp;P Old retention.xlsx]'Lake P Results'!AE227", 0.949999999999998)</f>
        <v>0.94999999999999796</v>
      </c>
      <c r="D681" s="29">
        <f>HYPERLINK("[N&amp;P New retention.xlsx]'Lake P Results'!AE227", 0.949999999999998)</f>
        <v>0.94999999999999796</v>
      </c>
      <c r="E681" s="29">
        <f>HYPERLINK("[N&amp;P with New retention and Differentiation.xlsx]'Lake P Results'!AE227", 0.949999999999998)</f>
        <v>0.94999999999999796</v>
      </c>
      <c r="F681" s="13"/>
      <c r="G681" s="13"/>
      <c r="H681" s="28">
        <f>HYPERLINK("[N&amp;P Old retention.xlsx]'Lake P Results'!AM227", 2100)</f>
        <v>2100</v>
      </c>
      <c r="I681" s="28">
        <f>HYPERLINK("[N&amp;P New retention.xlsx]'Lake P Results'!AM227", 2300)</f>
        <v>2300</v>
      </c>
      <c r="J681" s="28">
        <f>HYPERLINK("[N&amp;P with New retention and Differentiation.xlsx]'Lake P Results'!AM227", 2200)</f>
        <v>2200</v>
      </c>
      <c r="K681" s="16">
        <f>I681-H681</f>
        <v>200</v>
      </c>
      <c r="L681" s="16">
        <f>J681-H681</f>
        <v>100</v>
      </c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29">
        <f>HYPERLINK("[N&amp;P Old retention.xlsx]'Lake P Results'!Q227", 0.0999999999999998)</f>
        <v>9.9999999999999797E-2</v>
      </c>
      <c r="BL681" s="13"/>
      <c r="BM681" s="13"/>
      <c r="BN681" s="47">
        <f>BL681-BK681</f>
        <v>-9.9999999999999797E-2</v>
      </c>
      <c r="BO681" s="47">
        <f>BM681-BK681</f>
        <v>-9.9999999999999797E-2</v>
      </c>
    </row>
    <row r="682" spans="1:67" x14ac:dyDescent="0.55000000000000004">
      <c r="A682" s="30">
        <v>579</v>
      </c>
      <c r="B682" s="6" t="s">
        <v>541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27">
        <f>HYPERLINK("[N&amp;P Old retention.xlsx]'Lake P Results'!M228", 11.39)</f>
        <v>11.39</v>
      </c>
      <c r="AW682" s="18"/>
      <c r="AX682" s="18"/>
      <c r="AY682" s="47">
        <f>AW682-AV682</f>
        <v>-11.39</v>
      </c>
      <c r="AZ682" s="47">
        <f>AX682-AV682</f>
        <v>-11.39</v>
      </c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</row>
    <row r="683" spans="1:67" x14ac:dyDescent="0.55000000000000004">
      <c r="A683" s="31">
        <v>582</v>
      </c>
      <c r="B683" s="5" t="s">
        <v>542</v>
      </c>
      <c r="C683" s="13"/>
      <c r="D683" s="13"/>
      <c r="E683" s="13"/>
      <c r="F683" s="13"/>
      <c r="G683" s="13"/>
      <c r="H683" s="28">
        <f>HYPERLINK("[N&amp;P Old retention.xlsx]'Lake P Results'!AM229", 9400)</f>
        <v>9400</v>
      </c>
      <c r="I683" s="28">
        <f>HYPERLINK("[N&amp;P New retention.xlsx]'Lake P Results'!AM229", 9400)</f>
        <v>9400</v>
      </c>
      <c r="J683" s="28">
        <f>HYPERLINK("[N&amp;P with New retention and Differentiation.xlsx]'Lake P Results'!AM229", 9500)</f>
        <v>9500</v>
      </c>
      <c r="K683" s="13"/>
      <c r="L683" s="16">
        <f>J683-H683</f>
        <v>100</v>
      </c>
      <c r="M683" s="29">
        <f>HYPERLINK("[N&amp;P Old retention.xlsx]'Lake P Results'!AC229", 44.814)</f>
        <v>44.814</v>
      </c>
      <c r="N683" s="29">
        <f>HYPERLINK("[N&amp;P New retention.xlsx]'Lake P Results'!AC229", 43.584)</f>
        <v>43.584000000000003</v>
      </c>
      <c r="O683" s="29">
        <f>HYPERLINK("[N&amp;P with New retention and Differentiation.xlsx]'Lake P Results'!AC229", 47.678)</f>
        <v>47.677999999999997</v>
      </c>
      <c r="P683" s="47">
        <f>N683-M683</f>
        <v>-1.2299999999999969</v>
      </c>
      <c r="Q683" s="46">
        <f>O683-M683</f>
        <v>2.8639999999999972</v>
      </c>
      <c r="R683" s="29">
        <f>HYPERLINK("[N&amp;P Old retention.xlsx]'Lake P Results'!Y229", 6.03)</f>
        <v>6.03</v>
      </c>
      <c r="S683" s="29">
        <f>HYPERLINK("[N&amp;P New retention.xlsx]'Lake P Results'!Y229", 6.27)</f>
        <v>6.27</v>
      </c>
      <c r="T683" s="29">
        <f>HYPERLINK("[N&amp;P with New retention and Differentiation.xlsx]'Lake P Results'!Y229", 3.89)</f>
        <v>3.89</v>
      </c>
      <c r="U683" s="46">
        <f>S683-R683</f>
        <v>0.23999999999999932</v>
      </c>
      <c r="V683" s="47">
        <f>T683-R683</f>
        <v>-2.14</v>
      </c>
      <c r="W683" s="13"/>
      <c r="X683" s="13"/>
      <c r="Y683" s="13"/>
      <c r="Z683" s="13"/>
      <c r="AA683" s="13"/>
      <c r="AB683" s="29">
        <f>HYPERLINK("[N&amp;P Old retention.xlsx]'Lake P Results'!Z229", 2.38)</f>
        <v>2.38</v>
      </c>
      <c r="AC683" s="29">
        <f>HYPERLINK("[N&amp;P New retention.xlsx]'Lake P Results'!Z229", 3.37)</f>
        <v>3.37</v>
      </c>
      <c r="AD683" s="29">
        <f>HYPERLINK("[N&amp;P with New retention and Differentiation.xlsx]'Lake P Results'!Z229", 4.52)</f>
        <v>4.5199999999999996</v>
      </c>
      <c r="AE683" s="46">
        <f>AC683-AB683</f>
        <v>0.99000000000000021</v>
      </c>
      <c r="AF683" s="46">
        <f>AD683-AB683</f>
        <v>2.1399999999999997</v>
      </c>
      <c r="AG683" s="29">
        <f>HYPERLINK("[N&amp;P Old retention.xlsx]'Lake P Results'!AA229", 23.484)</f>
        <v>23.484000000000002</v>
      </c>
      <c r="AH683" s="29">
        <f>HYPERLINK("[N&amp;P New retention.xlsx]'Lake P Results'!AA229", 23.484)</f>
        <v>23.484000000000002</v>
      </c>
      <c r="AI683" s="29">
        <f>HYPERLINK("[N&amp;P with New retention and Differentiation.xlsx]'Lake P Results'!AA229", 23.484)</f>
        <v>23.484000000000002</v>
      </c>
      <c r="AJ683" s="13"/>
      <c r="AK683" s="13"/>
      <c r="AL683" s="13"/>
      <c r="AM683" s="13"/>
      <c r="AN683" s="13"/>
      <c r="AO683" s="13"/>
      <c r="AP683" s="13"/>
      <c r="AQ683" s="28">
        <f>HYPERLINK("[N&amp;P Old retention.xlsx]'Lake P Results'!AH229", 100)</f>
        <v>100</v>
      </c>
      <c r="AR683" s="28">
        <f>HYPERLINK("[N&amp;P New retention.xlsx]'Lake P Results'!AH229", 100)</f>
        <v>100</v>
      </c>
      <c r="AS683" s="28">
        <f>HYPERLINK("[N&amp;P with New retention and Differentiation.xlsx]'Lake P Results'!AH229", 100)</f>
        <v>100</v>
      </c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</row>
    <row r="684" spans="1:67" x14ac:dyDescent="0.55000000000000004">
      <c r="A684" s="30">
        <v>583</v>
      </c>
      <c r="B684" s="6" t="s">
        <v>543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</row>
    <row r="685" spans="1:67" x14ac:dyDescent="0.55000000000000004">
      <c r="A685" s="31">
        <v>584</v>
      </c>
      <c r="B685" s="5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</row>
    <row r="686" spans="1:67" x14ac:dyDescent="0.55000000000000004">
      <c r="A686" s="30">
        <v>586</v>
      </c>
      <c r="B686" s="6" t="s">
        <v>544</v>
      </c>
      <c r="C686" s="18"/>
      <c r="D686" s="18"/>
      <c r="E686" s="18"/>
      <c r="F686" s="18"/>
      <c r="G686" s="18"/>
      <c r="H686" s="26">
        <f>HYPERLINK("[N&amp;P Old retention.xlsx]'Lake P Results'!AM232", 7900)</f>
        <v>7900</v>
      </c>
      <c r="I686" s="26">
        <f>HYPERLINK("[N&amp;P New retention.xlsx]'Lake P Results'!AM232", 7900)</f>
        <v>7900</v>
      </c>
      <c r="J686" s="26">
        <f>HYPERLINK("[N&amp;P with New retention and Differentiation.xlsx]'Lake P Results'!AM232", 8000)</f>
        <v>8000</v>
      </c>
      <c r="K686" s="18"/>
      <c r="L686" s="16">
        <f>J686-H686</f>
        <v>100</v>
      </c>
      <c r="M686" s="27">
        <f>HYPERLINK("[N&amp;P Old retention.xlsx]'Lake P Results'!AC232", 595.044)</f>
        <v>595.04399999999998</v>
      </c>
      <c r="N686" s="27">
        <f>HYPERLINK("[N&amp;P New retention.xlsx]'Lake P Results'!AC232", 605.438)</f>
        <v>605.43799999999999</v>
      </c>
      <c r="O686" s="27">
        <f>HYPERLINK("[N&amp;P with New retention and Differentiation.xlsx]'Lake P Results'!AC232", 588.956)</f>
        <v>588.95600000000002</v>
      </c>
      <c r="P686" s="46">
        <f>N686-M686</f>
        <v>10.394000000000005</v>
      </c>
      <c r="Q686" s="47">
        <f>O686-M686</f>
        <v>-6.0879999999999654</v>
      </c>
      <c r="R686" s="27">
        <f>HYPERLINK("[N&amp;P Old retention.xlsx]'Lake P Results'!Y232", 41.378)</f>
        <v>41.378</v>
      </c>
      <c r="S686" s="27">
        <f>HYPERLINK("[N&amp;P New retention.xlsx]'Lake P Results'!Y232", 46.966)</f>
        <v>46.966000000000001</v>
      </c>
      <c r="T686" s="27">
        <f>HYPERLINK("[N&amp;P with New retention and Differentiation.xlsx]'Lake P Results'!Y232", 31.308)</f>
        <v>31.308</v>
      </c>
      <c r="U686" s="46">
        <f>S686-R686</f>
        <v>5.588000000000001</v>
      </c>
      <c r="V686" s="47">
        <f>T686-R686</f>
        <v>-10.07</v>
      </c>
      <c r="W686" s="27">
        <f>HYPERLINK("[N&amp;P Old retention.xlsx]'Lake P Results'!V232", 0.12)</f>
        <v>0.12</v>
      </c>
      <c r="X686" s="27">
        <f>HYPERLINK("[N&amp;P New retention.xlsx]'Lake P Results'!V232", 0.12)</f>
        <v>0.12</v>
      </c>
      <c r="Y686" s="27">
        <f>HYPERLINK("[N&amp;P with New retention and Differentiation.xlsx]'Lake P Results'!V232", 0.12)</f>
        <v>0.12</v>
      </c>
      <c r="Z686" s="18"/>
      <c r="AA686" s="18"/>
      <c r="AB686" s="27">
        <f>HYPERLINK("[N&amp;P Old retention.xlsx]'Lake P Results'!Z232", 69.676)</f>
        <v>69.676000000000002</v>
      </c>
      <c r="AC686" s="27">
        <f>HYPERLINK("[N&amp;P New retention.xlsx]'Lake P Results'!Z232", 53.694)</f>
        <v>53.694000000000003</v>
      </c>
      <c r="AD686" s="27">
        <f>HYPERLINK("[N&amp;P with New retention and Differentiation.xlsx]'Lake P Results'!Z232", 85.834)</f>
        <v>85.834000000000003</v>
      </c>
      <c r="AE686" s="47">
        <f>AC686-AB686</f>
        <v>-15.981999999999999</v>
      </c>
      <c r="AF686" s="46">
        <f>AD686-AB686</f>
        <v>16.158000000000001</v>
      </c>
      <c r="AG686" s="27">
        <f>HYPERLINK("[N&amp;P Old retention.xlsx]'Lake P Results'!AA232", 20.062)</f>
        <v>20.062000000000001</v>
      </c>
      <c r="AH686" s="27">
        <f>HYPERLINK("[N&amp;P New retention.xlsx]'Lake P Results'!AA232", 20.062)</f>
        <v>20.062000000000001</v>
      </c>
      <c r="AI686" s="27">
        <f>HYPERLINK("[N&amp;P with New retention and Differentiation.xlsx]'Lake P Results'!AA232", 20.062)</f>
        <v>20.062000000000001</v>
      </c>
      <c r="AJ686" s="18"/>
      <c r="AK686" s="18"/>
      <c r="AL686" s="27">
        <f>HYPERLINK("[N&amp;P Old retention.xlsx]'Lake P Results'!AF232", 0.32)</f>
        <v>0.32</v>
      </c>
      <c r="AM686" s="27">
        <f>HYPERLINK("[N&amp;P New retention.xlsx]'Lake P Results'!AF232", 0.32)</f>
        <v>0.32</v>
      </c>
      <c r="AN686" s="27">
        <f>HYPERLINK("[N&amp;P with New retention and Differentiation.xlsx]'Lake P Results'!AF232", 0.32)</f>
        <v>0.32</v>
      </c>
      <c r="AO686" s="18"/>
      <c r="AP686" s="18"/>
      <c r="AQ686" s="26">
        <f>HYPERLINK("[N&amp;P Old retention.xlsx]'Lake P Results'!AH232", 100)</f>
        <v>100</v>
      </c>
      <c r="AR686" s="26">
        <f>HYPERLINK("[N&amp;P New retention.xlsx]'Lake P Results'!AH232", 100)</f>
        <v>100</v>
      </c>
      <c r="AS686" s="26">
        <f>HYPERLINK("[N&amp;P with New retention and Differentiation.xlsx]'Lake P Results'!AH232", 100)</f>
        <v>100</v>
      </c>
      <c r="AT686" s="18"/>
      <c r="AU686" s="18"/>
      <c r="AV686" s="27">
        <f>HYPERLINK("[N&amp;P Old retention.xlsx]'Lake P Results'!M232", 18.95)</f>
        <v>18.95</v>
      </c>
      <c r="AW686" s="27">
        <f>HYPERLINK("[N&amp;P New retention.xlsx]'Lake P Results'!M232", 18.95)</f>
        <v>18.95</v>
      </c>
      <c r="AX686" s="27">
        <f>HYPERLINK("[N&amp;P with New retention and Differentiation.xlsx]'Lake P Results'!M232", 18.95)</f>
        <v>18.95</v>
      </c>
      <c r="AY686" s="18"/>
      <c r="AZ686" s="18"/>
      <c r="BA686" s="27">
        <f>HYPERLINK("[N&amp;P Old retention.xlsx]'Lake P Results'!O232", 0.062)</f>
        <v>6.2E-2</v>
      </c>
      <c r="BB686" s="27">
        <f>HYPERLINK("[N&amp;P New retention.xlsx]'Lake P Results'!O232", 0.062)</f>
        <v>6.2E-2</v>
      </c>
      <c r="BC686" s="27">
        <f>HYPERLINK("[N&amp;P with New retention and Differentiation.xlsx]'Lake P Results'!O232", 0.062)</f>
        <v>6.2E-2</v>
      </c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</row>
    <row r="687" spans="1:67" x14ac:dyDescent="0.55000000000000004">
      <c r="A687" s="31">
        <v>587</v>
      </c>
      <c r="B687" s="5" t="s">
        <v>545</v>
      </c>
      <c r="C687" s="29">
        <f>HYPERLINK("[N&amp;P Old retention.xlsx]'Lake P Results'!AE233", 8.22)</f>
        <v>8.2200000000000006</v>
      </c>
      <c r="D687" s="29">
        <f>HYPERLINK("[N&amp;P New retention.xlsx]'Lake P Results'!AE233", 8.22)</f>
        <v>8.2200000000000006</v>
      </c>
      <c r="E687" s="29">
        <f>HYPERLINK("[N&amp;P with New retention and Differentiation.xlsx]'Lake P Results'!AE233", 8.22)</f>
        <v>8.2200000000000006</v>
      </c>
      <c r="F687" s="13"/>
      <c r="G687" s="13"/>
      <c r="H687" s="28">
        <f>HYPERLINK("[N&amp;P Old retention.xlsx]'Lake P Results'!AM233", 12800)</f>
        <v>12800</v>
      </c>
      <c r="I687" s="28">
        <f>HYPERLINK("[N&amp;P New retention.xlsx]'Lake P Results'!AM233", 13000)</f>
        <v>13000</v>
      </c>
      <c r="J687" s="28">
        <f>HYPERLINK("[N&amp;P with New retention and Differentiation.xlsx]'Lake P Results'!AM233", 12800)</f>
        <v>12800</v>
      </c>
      <c r="K687" s="16">
        <f>I687-H687</f>
        <v>200</v>
      </c>
      <c r="L687" s="13"/>
      <c r="M687" s="29">
        <f>HYPERLINK("[N&amp;P Old retention.xlsx]'Lake P Results'!AC233", 1194.148)</f>
        <v>1194.1479999999999</v>
      </c>
      <c r="N687" s="29">
        <f>HYPERLINK("[N&amp;P New retention.xlsx]'Lake P Results'!AC233", 1196.792)</f>
        <v>1196.7919999999999</v>
      </c>
      <c r="O687" s="29">
        <f>HYPERLINK("[N&amp;P with New retention and Differentiation.xlsx]'Lake P Results'!AC233", 1217.672)</f>
        <v>1217.672</v>
      </c>
      <c r="P687" s="46">
        <f>N687-M687</f>
        <v>2.6440000000000055</v>
      </c>
      <c r="Q687" s="46">
        <f>O687-M687</f>
        <v>23.524000000000115</v>
      </c>
      <c r="R687" s="29">
        <f>HYPERLINK("[N&amp;P Old retention.xlsx]'Lake P Results'!Y233", 926.46)</f>
        <v>926.46</v>
      </c>
      <c r="S687" s="29">
        <f>HYPERLINK("[N&amp;P New retention.xlsx]'Lake P Results'!Y233", 932.72)</f>
        <v>932.72</v>
      </c>
      <c r="T687" s="29">
        <f>HYPERLINK("[N&amp;P with New retention and Differentiation.xlsx]'Lake P Results'!Y233", 915.912)</f>
        <v>915.91200000000003</v>
      </c>
      <c r="U687" s="46">
        <f>S687-R687</f>
        <v>6.2599999999999909</v>
      </c>
      <c r="V687" s="47">
        <f>T687-R687</f>
        <v>-10.548000000000002</v>
      </c>
      <c r="W687" s="29">
        <f>HYPERLINK("[N&amp;P Old retention.xlsx]'Lake P Results'!V233", 40.3)</f>
        <v>40.299999999999997</v>
      </c>
      <c r="X687" s="29">
        <f>HYPERLINK("[N&amp;P New retention.xlsx]'Lake P Results'!V233", 54.56)</f>
        <v>54.56</v>
      </c>
      <c r="Y687" s="29">
        <f>HYPERLINK("[N&amp;P with New retention and Differentiation.xlsx]'Lake P Results'!V233", 40.3)</f>
        <v>40.299999999999997</v>
      </c>
      <c r="Z687" s="46">
        <f>X687-W687</f>
        <v>14.260000000000005</v>
      </c>
      <c r="AA687" s="13"/>
      <c r="AB687" s="29">
        <f>HYPERLINK("[N&amp;P Old retention.xlsx]'Lake P Results'!Z233", 3.792)</f>
        <v>3.7919999999999998</v>
      </c>
      <c r="AC687" s="29">
        <f>HYPERLINK("[N&amp;P New retention.xlsx]'Lake P Results'!Z233", 3.792)</f>
        <v>3.7919999999999998</v>
      </c>
      <c r="AD687" s="29">
        <f>HYPERLINK("[N&amp;P with New retention and Differentiation.xlsx]'Lake P Results'!Z233", 3.792)</f>
        <v>3.7919999999999998</v>
      </c>
      <c r="AE687" s="13"/>
      <c r="AF687" s="13"/>
      <c r="AG687" s="29">
        <f>HYPERLINK("[N&amp;P Old retention.xlsx]'Lake P Results'!AA233", 67.578)</f>
        <v>67.578000000000003</v>
      </c>
      <c r="AH687" s="29">
        <f>HYPERLINK("[N&amp;P New retention.xlsx]'Lake P Results'!AA233", 68.448)</f>
        <v>68.447999999999993</v>
      </c>
      <c r="AI687" s="29">
        <f>HYPERLINK("[N&amp;P with New retention and Differentiation.xlsx]'Lake P Results'!AA233", 66.334)</f>
        <v>66.334000000000003</v>
      </c>
      <c r="AJ687" s="46">
        <f>AH687-AG687</f>
        <v>0.86999999999999034</v>
      </c>
      <c r="AK687" s="47">
        <f>AI687-AG687</f>
        <v>-1.2439999999999998</v>
      </c>
      <c r="AL687" s="29">
        <f>HYPERLINK("[N&amp;P Old retention.xlsx]'Lake P Results'!AF233", 0.02)</f>
        <v>0.02</v>
      </c>
      <c r="AM687" s="29">
        <f>HYPERLINK("[N&amp;P New retention.xlsx]'Lake P Results'!AF233", 0.02)</f>
        <v>0.02</v>
      </c>
      <c r="AN687" s="29">
        <f>HYPERLINK("[N&amp;P with New retention and Differentiation.xlsx]'Lake P Results'!AF233", 0.02)</f>
        <v>0.02</v>
      </c>
      <c r="AO687" s="13"/>
      <c r="AP687" s="13"/>
      <c r="AQ687" s="28">
        <f>HYPERLINK("[N&amp;P Old retention.xlsx]'Lake P Results'!AH233", 1600)</f>
        <v>1600</v>
      </c>
      <c r="AR687" s="28">
        <f>HYPERLINK("[N&amp;P New retention.xlsx]'Lake P Results'!AH233", 1600)</f>
        <v>1600</v>
      </c>
      <c r="AS687" s="28">
        <f>HYPERLINK("[N&amp;P with New retention and Differentiation.xlsx]'Lake P Results'!AH233", 1600)</f>
        <v>1600</v>
      </c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</row>
    <row r="688" spans="1:67" x14ac:dyDescent="0.55000000000000004">
      <c r="A688" s="30">
        <v>591</v>
      </c>
      <c r="B688" s="6" t="s">
        <v>546</v>
      </c>
      <c r="C688" s="27">
        <f>HYPERLINK("[N&amp;P Old retention.xlsx]'Lake P Results'!AE234", 0.0519999999999999)</f>
        <v>5.19999999999999E-2</v>
      </c>
      <c r="D688" s="27">
        <f>HYPERLINK("[N&amp;P New retention.xlsx]'Lake P Results'!AE234", 0.0519999999999999)</f>
        <v>5.19999999999999E-2</v>
      </c>
      <c r="E688" s="27">
        <f>HYPERLINK("[N&amp;P with New retention and Differentiation.xlsx]'Lake P Results'!AE234", 0.0519999999999999)</f>
        <v>5.19999999999999E-2</v>
      </c>
      <c r="F688" s="18"/>
      <c r="G688" s="18"/>
      <c r="H688" s="26">
        <f>HYPERLINK("[N&amp;P Old retention.xlsx]'Lake P Results'!AM234", 3600)</f>
        <v>3600</v>
      </c>
      <c r="I688" s="26">
        <f>HYPERLINK("[N&amp;P New retention.xlsx]'Lake P Results'!AM234", 3400)</f>
        <v>3400</v>
      </c>
      <c r="J688" s="26">
        <f>HYPERLINK("[N&amp;P with New retention and Differentiation.xlsx]'Lake P Results'!AM234", 3400)</f>
        <v>3400</v>
      </c>
      <c r="K688" s="21">
        <f>I688-H688</f>
        <v>-200</v>
      </c>
      <c r="L688" s="21">
        <f>J688-H688</f>
        <v>-200</v>
      </c>
      <c r="M688" s="27">
        <f>HYPERLINK("[N&amp;P Old retention.xlsx]'Lake P Results'!AC234", 233.616)</f>
        <v>233.61600000000001</v>
      </c>
      <c r="N688" s="27">
        <f>HYPERLINK("[N&amp;P New retention.xlsx]'Lake P Results'!AC234", 230.398)</f>
        <v>230.398</v>
      </c>
      <c r="O688" s="27">
        <f>HYPERLINK("[N&amp;P with New retention and Differentiation.xlsx]'Lake P Results'!AC234", 245.928)</f>
        <v>245.928</v>
      </c>
      <c r="P688" s="47">
        <f>N688-M688</f>
        <v>-3.2180000000000177</v>
      </c>
      <c r="Q688" s="46">
        <f>O688-M688</f>
        <v>12.311999999999983</v>
      </c>
      <c r="R688" s="27">
        <f>HYPERLINK("[N&amp;P Old retention.xlsx]'Lake P Results'!Y234", 120.748)</f>
        <v>120.748</v>
      </c>
      <c r="S688" s="27">
        <f>HYPERLINK("[N&amp;P New retention.xlsx]'Lake P Results'!Y234", 116.092)</f>
        <v>116.092</v>
      </c>
      <c r="T688" s="27">
        <f>HYPERLINK("[N&amp;P with New retention and Differentiation.xlsx]'Lake P Results'!Y234", 97.968)</f>
        <v>97.968000000000004</v>
      </c>
      <c r="U688" s="47">
        <f>S688-R688</f>
        <v>-4.6560000000000059</v>
      </c>
      <c r="V688" s="47">
        <f>T688-R688</f>
        <v>-22.78</v>
      </c>
      <c r="W688" s="18"/>
      <c r="X688" s="18"/>
      <c r="Y688" s="18"/>
      <c r="Z688" s="18"/>
      <c r="AA688" s="18"/>
      <c r="AB688" s="27">
        <f>HYPERLINK("[N&amp;P Old retention.xlsx]'Lake P Results'!Z234", 20.21)</f>
        <v>20.21</v>
      </c>
      <c r="AC688" s="27">
        <f>HYPERLINK("[N&amp;P New retention.xlsx]'Lake P Results'!Z234", 29.414)</f>
        <v>29.414000000000001</v>
      </c>
      <c r="AD688" s="27">
        <f>HYPERLINK("[N&amp;P with New retention and Differentiation.xlsx]'Lake P Results'!Z234", 30.678)</f>
        <v>30.678000000000001</v>
      </c>
      <c r="AE688" s="46">
        <f>AC688-AB688</f>
        <v>9.2040000000000006</v>
      </c>
      <c r="AF688" s="46">
        <f>AD688-AB688</f>
        <v>10.468</v>
      </c>
      <c r="AG688" s="27">
        <f>HYPERLINK("[N&amp;P Old retention.xlsx]'Lake P Results'!AA234", 40.042)</f>
        <v>40.042000000000002</v>
      </c>
      <c r="AH688" s="27">
        <f>HYPERLINK("[N&amp;P New retention.xlsx]'Lake P Results'!AA234", 40.042)</f>
        <v>40.042000000000002</v>
      </c>
      <c r="AI688" s="27">
        <f>HYPERLINK("[N&amp;P with New retention and Differentiation.xlsx]'Lake P Results'!AA234", 40.042)</f>
        <v>40.042000000000002</v>
      </c>
      <c r="AJ688" s="18"/>
      <c r="AK688" s="18"/>
      <c r="AL688" s="27">
        <f>HYPERLINK("[N&amp;P Old retention.xlsx]'Lake P Results'!AF234", 0.52)</f>
        <v>0.52</v>
      </c>
      <c r="AM688" s="27">
        <f>HYPERLINK("[N&amp;P New retention.xlsx]'Lake P Results'!AF234", 0.52)</f>
        <v>0.52</v>
      </c>
      <c r="AN688" s="27">
        <f>HYPERLINK("[N&amp;P with New retention and Differentiation.xlsx]'Lake P Results'!AF234", 0.52)</f>
        <v>0.52</v>
      </c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</row>
    <row r="689" spans="1:67" x14ac:dyDescent="0.55000000000000004">
      <c r="A689" s="31">
        <v>592</v>
      </c>
      <c r="B689" s="5" t="s">
        <v>547</v>
      </c>
      <c r="C689" s="29">
        <f>HYPERLINK("[N&amp;P Old retention.xlsx]'Lake P Results'!AE235", 23.292)</f>
        <v>23.292000000000002</v>
      </c>
      <c r="D689" s="29">
        <f>HYPERLINK("[N&amp;P New retention.xlsx]'Lake P Results'!AE235", 23.292)</f>
        <v>23.292000000000002</v>
      </c>
      <c r="E689" s="29">
        <f>HYPERLINK("[N&amp;P with New retention and Differentiation.xlsx]'Lake P Results'!AE235", 23.292)</f>
        <v>23.292000000000002</v>
      </c>
      <c r="F689" s="13"/>
      <c r="G689" s="13"/>
      <c r="H689" s="28">
        <f>HYPERLINK("[N&amp;P Old retention.xlsx]'Lake P Results'!AM235", 119500)</f>
        <v>119500</v>
      </c>
      <c r="I689" s="28">
        <f>HYPERLINK("[N&amp;P New retention.xlsx]'Lake P Results'!AM235", 118900)</f>
        <v>118900</v>
      </c>
      <c r="J689" s="28">
        <f>HYPERLINK("[N&amp;P with New retention and Differentiation.xlsx]'Lake P Results'!AM235", 119700)</f>
        <v>119700</v>
      </c>
      <c r="K689" s="21">
        <f>I689-H689</f>
        <v>-600</v>
      </c>
      <c r="L689" s="16">
        <f>J689-H689</f>
        <v>200</v>
      </c>
      <c r="M689" s="29">
        <f>HYPERLINK("[N&amp;P Old retention.xlsx]'Lake P Results'!AC235", 3869.502)</f>
        <v>3869.502</v>
      </c>
      <c r="N689" s="29">
        <f>HYPERLINK("[N&amp;P New retention.xlsx]'Lake P Results'!AC235", 3999.592)</f>
        <v>3999.5920000000001</v>
      </c>
      <c r="O689" s="29">
        <f>HYPERLINK("[N&amp;P with New retention and Differentiation.xlsx]'Lake P Results'!AC235", 3922.666)</f>
        <v>3922.6660000000002</v>
      </c>
      <c r="P689" s="46">
        <f>N689-M689</f>
        <v>130.09000000000015</v>
      </c>
      <c r="Q689" s="46">
        <f>O689-M689</f>
        <v>53.164000000000215</v>
      </c>
      <c r="R689" s="29">
        <f>HYPERLINK("[N&amp;P Old retention.xlsx]'Lake P Results'!Y235", 1344.968)</f>
        <v>1344.9680000000001</v>
      </c>
      <c r="S689" s="29">
        <f>HYPERLINK("[N&amp;P New retention.xlsx]'Lake P Results'!Y235", 1404.59)</f>
        <v>1404.59</v>
      </c>
      <c r="T689" s="29">
        <f>HYPERLINK("[N&amp;P with New retention and Differentiation.xlsx]'Lake P Results'!Y235", 1403.586)</f>
        <v>1403.586</v>
      </c>
      <c r="U689" s="46">
        <f>S689-R689</f>
        <v>59.621999999999844</v>
      </c>
      <c r="V689" s="46">
        <f>T689-R689</f>
        <v>58.617999999999938</v>
      </c>
      <c r="W689" s="29">
        <f>HYPERLINK("[N&amp;P Old retention.xlsx]'Lake P Results'!V235", 30.388)</f>
        <v>30.388000000000002</v>
      </c>
      <c r="X689" s="29">
        <f>HYPERLINK("[N&amp;P New retention.xlsx]'Lake P Results'!V235", 30.388)</f>
        <v>30.388000000000002</v>
      </c>
      <c r="Y689" s="29">
        <f>HYPERLINK("[N&amp;P with New retention and Differentiation.xlsx]'Lake P Results'!V235", 30.388)</f>
        <v>30.388000000000002</v>
      </c>
      <c r="Z689" s="13"/>
      <c r="AA689" s="13"/>
      <c r="AB689" s="29">
        <f>HYPERLINK("[N&amp;P Old retention.xlsx]'Lake P Results'!Z235", 516.542)</f>
        <v>516.54200000000003</v>
      </c>
      <c r="AC689" s="29">
        <f>HYPERLINK("[N&amp;P New retention.xlsx]'Lake P Results'!Z235", 304.69)</f>
        <v>304.69</v>
      </c>
      <c r="AD689" s="29">
        <f>HYPERLINK("[N&amp;P with New retention and Differentiation.xlsx]'Lake P Results'!Z235", 402.122)</f>
        <v>402.12200000000001</v>
      </c>
      <c r="AE689" s="47">
        <f>AC689-AB689</f>
        <v>-211.85200000000003</v>
      </c>
      <c r="AF689" s="47">
        <f>AD689-AB689</f>
        <v>-114.42000000000002</v>
      </c>
      <c r="AG689" s="29">
        <f>HYPERLINK("[N&amp;P Old retention.xlsx]'Lake P Results'!AA235", 587.688)</f>
        <v>587.68799999999999</v>
      </c>
      <c r="AH689" s="29">
        <f>HYPERLINK("[N&amp;P New retention.xlsx]'Lake P Results'!AA235", 570.348)</f>
        <v>570.34799999999996</v>
      </c>
      <c r="AI689" s="29">
        <f>HYPERLINK("[N&amp;P with New retention and Differentiation.xlsx]'Lake P Results'!AA235", 578.608)</f>
        <v>578.60799999999995</v>
      </c>
      <c r="AJ689" s="47">
        <f>AH689-AG689</f>
        <v>-17.340000000000032</v>
      </c>
      <c r="AK689" s="47">
        <f>AI689-AG689</f>
        <v>-9.0800000000000409</v>
      </c>
      <c r="AL689" s="29">
        <f>HYPERLINK("[N&amp;P Old retention.xlsx]'Lake P Results'!AF235", 1.494)</f>
        <v>1.494</v>
      </c>
      <c r="AM689" s="29">
        <f>HYPERLINK("[N&amp;P New retention.xlsx]'Lake P Results'!AF235", 1.494)</f>
        <v>1.494</v>
      </c>
      <c r="AN689" s="29">
        <f>HYPERLINK("[N&amp;P with New retention and Differentiation.xlsx]'Lake P Results'!AF235", 1.494)</f>
        <v>1.494</v>
      </c>
      <c r="AO689" s="13"/>
      <c r="AP689" s="13"/>
      <c r="AQ689" s="28">
        <f>HYPERLINK("[N&amp;P Old retention.xlsx]'Lake P Results'!AH235", 3400)</f>
        <v>3400</v>
      </c>
      <c r="AR689" s="28">
        <f>HYPERLINK("[N&amp;P New retention.xlsx]'Lake P Results'!AH235", 3400)</f>
        <v>3400</v>
      </c>
      <c r="AS689" s="28">
        <f>HYPERLINK("[N&amp;P with New retention and Differentiation.xlsx]'Lake P Results'!AH235", 3400)</f>
        <v>3400</v>
      </c>
      <c r="AT689" s="13"/>
      <c r="AU689" s="13"/>
      <c r="AV689" s="29">
        <f>HYPERLINK("[N&amp;P Old retention.xlsx]'Lake P Results'!M235", 92.65)</f>
        <v>92.65</v>
      </c>
      <c r="AW689" s="29">
        <f>HYPERLINK("[N&amp;P New retention.xlsx]'Lake P Results'!M235", 88.35)</f>
        <v>88.35</v>
      </c>
      <c r="AX689" s="29">
        <f>HYPERLINK("[N&amp;P with New retention and Differentiation.xlsx]'Lake P Results'!M235", 86.93)</f>
        <v>86.93</v>
      </c>
      <c r="AY689" s="47">
        <f>AW689-AV689</f>
        <v>-4.3000000000000114</v>
      </c>
      <c r="AZ689" s="47">
        <f>AX689-AV689</f>
        <v>-5.7199999999999989</v>
      </c>
      <c r="BA689" s="29">
        <f>HYPERLINK("[N&amp;P Old retention.xlsx]'Lake P Results'!O235", 39.484)</f>
        <v>39.484000000000002</v>
      </c>
      <c r="BB689" s="29">
        <f>HYPERLINK("[N&amp;P New retention.xlsx]'Lake P Results'!O235", 39.484)</f>
        <v>39.484000000000002</v>
      </c>
      <c r="BC689" s="29">
        <f>HYPERLINK("[N&amp;P with New retention and Differentiation.xlsx]'Lake P Results'!O235", 39.484)</f>
        <v>39.484000000000002</v>
      </c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</row>
    <row r="690" spans="1:67" x14ac:dyDescent="0.55000000000000004">
      <c r="A690" s="30">
        <v>593</v>
      </c>
      <c r="B690" s="6" t="s">
        <v>548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</row>
    <row r="691" spans="1:67" x14ac:dyDescent="0.55000000000000004">
      <c r="A691" s="31">
        <v>595</v>
      </c>
      <c r="B691" s="5" t="s">
        <v>549</v>
      </c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29">
        <f>HYPERLINK("[N&amp;P Old retention.xlsx]'Lake P Results'!M237", 5.72)</f>
        <v>5.72</v>
      </c>
      <c r="AW691" s="29">
        <f>HYPERLINK("[N&amp;P New retention.xlsx]'Lake P Results'!M237", 5.72)</f>
        <v>5.72</v>
      </c>
      <c r="AX691" s="29">
        <f>HYPERLINK("[N&amp;P with New retention and Differentiation.xlsx]'Lake P Results'!M237", 5.72)</f>
        <v>5.72</v>
      </c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</row>
    <row r="692" spans="1:67" x14ac:dyDescent="0.55000000000000004">
      <c r="A692" s="30">
        <v>597</v>
      </c>
      <c r="B692" s="6" t="s">
        <v>550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</row>
    <row r="693" spans="1:67" x14ac:dyDescent="0.55000000000000004">
      <c r="A693" s="31">
        <v>598</v>
      </c>
      <c r="B693" s="5" t="s">
        <v>551</v>
      </c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29">
        <f>HYPERLINK("[N&amp;P Old retention.xlsx]'Lake P Results'!M239", 21.8)</f>
        <v>21.8</v>
      </c>
      <c r="AW693" s="29">
        <f>HYPERLINK("[N&amp;P New retention.xlsx]'Lake P Results'!M239", 24.93)</f>
        <v>24.93</v>
      </c>
      <c r="AX693" s="29">
        <f>HYPERLINK("[N&amp;P with New retention and Differentiation.xlsx]'Lake P Results'!M239", 24.93)</f>
        <v>24.93</v>
      </c>
      <c r="AY693" s="46">
        <f>AW693-AV693</f>
        <v>3.129999999999999</v>
      </c>
      <c r="AZ693" s="46">
        <f>AX693-AV693</f>
        <v>3.129999999999999</v>
      </c>
      <c r="BA693" s="13"/>
      <c r="BB693" s="13"/>
      <c r="BC693" s="13"/>
      <c r="BD693" s="13"/>
      <c r="BE693" s="13"/>
      <c r="BF693" s="29">
        <f>HYPERLINK("[N&amp;P Old retention.xlsx]'Lake P Results'!R239", 0.234)</f>
        <v>0.23400000000000001</v>
      </c>
      <c r="BG693" s="29">
        <f>HYPERLINK("[N&amp;P New retention.xlsx]'Lake P Results'!R239", 0.234)</f>
        <v>0.23400000000000001</v>
      </c>
      <c r="BH693" s="29">
        <f>HYPERLINK("[N&amp;P with New retention and Differentiation.xlsx]'Lake P Results'!R239", 0.234)</f>
        <v>0.23400000000000001</v>
      </c>
      <c r="BI693" s="13"/>
      <c r="BJ693" s="13"/>
      <c r="BK693" s="29">
        <f>HYPERLINK("[N&amp;P Old retention.xlsx]'Lake P Results'!Q239", 2.512)</f>
        <v>2.512</v>
      </c>
      <c r="BL693" s="29">
        <f>HYPERLINK("[N&amp;P New retention.xlsx]'Lake P Results'!Q239", 2.002)</f>
        <v>2.0019999999999998</v>
      </c>
      <c r="BM693" s="29">
        <f>HYPERLINK("[N&amp;P with New retention and Differentiation.xlsx]'Lake P Results'!Q239", 2.002)</f>
        <v>2.0019999999999998</v>
      </c>
      <c r="BN693" s="47">
        <f>BL693-BK693</f>
        <v>-0.51000000000000023</v>
      </c>
      <c r="BO693" s="47">
        <f>BM693-BK693</f>
        <v>-0.51000000000000023</v>
      </c>
    </row>
    <row r="694" spans="1:67" x14ac:dyDescent="0.55000000000000004">
      <c r="A694" s="30">
        <v>599</v>
      </c>
      <c r="B694" s="6" t="s">
        <v>552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27">
        <f>HYPERLINK("[N&amp;P Old retention.xlsx]'Lake P Results'!O240", 1845.708)</f>
        <v>1845.7080000000001</v>
      </c>
      <c r="BB694" s="27">
        <f>HYPERLINK("[N&amp;P New retention.xlsx]'Lake P Results'!O240", 702.168)</f>
        <v>702.16800000000001</v>
      </c>
      <c r="BC694" s="27">
        <f>HYPERLINK("[N&amp;P with New retention and Differentiation.xlsx]'Lake P Results'!O240", 641.128)</f>
        <v>641.12800000000004</v>
      </c>
      <c r="BD694" s="47">
        <f>BB694-BA694</f>
        <v>-1143.54</v>
      </c>
      <c r="BE694" s="47">
        <f>BC694-BA694</f>
        <v>-1204.58</v>
      </c>
      <c r="BF694" s="27">
        <f>HYPERLINK("[N&amp;P Old retention.xlsx]'Lake P Results'!R240", 305.534)</f>
        <v>305.53399999999999</v>
      </c>
      <c r="BG694" s="27">
        <f>HYPERLINK("[N&amp;P New retention.xlsx]'Lake P Results'!R240", 198.86)</f>
        <v>198.86</v>
      </c>
      <c r="BH694" s="27">
        <f>HYPERLINK("[N&amp;P with New retention and Differentiation.xlsx]'Lake P Results'!R240", 208.638)</f>
        <v>208.63800000000001</v>
      </c>
      <c r="BI694" s="47">
        <f>BG694-BF694</f>
        <v>-106.67399999999998</v>
      </c>
      <c r="BJ694" s="47">
        <f>BH694-BF694</f>
        <v>-96.895999999999987</v>
      </c>
      <c r="BK694" s="27">
        <f>HYPERLINK("[N&amp;P Old retention.xlsx]'Lake P Results'!Q240", 181.116)</f>
        <v>181.11600000000001</v>
      </c>
      <c r="BL694" s="27">
        <f>HYPERLINK("[N&amp;P New retention.xlsx]'Lake P Results'!Q240", 200.266)</f>
        <v>200.26599999999999</v>
      </c>
      <c r="BM694" s="27">
        <f>HYPERLINK("[N&amp;P with New retention and Differentiation.xlsx]'Lake P Results'!Q240", 201.456)</f>
        <v>201.45599999999999</v>
      </c>
      <c r="BN694" s="46">
        <f>BL694-BK694</f>
        <v>19.149999999999977</v>
      </c>
      <c r="BO694" s="46">
        <f>BM694-BK694</f>
        <v>20.339999999999975</v>
      </c>
    </row>
    <row r="695" spans="1:67" x14ac:dyDescent="0.55000000000000004">
      <c r="A695" s="31">
        <v>601</v>
      </c>
      <c r="B695" s="5" t="s">
        <v>553</v>
      </c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</row>
    <row r="696" spans="1:67" x14ac:dyDescent="0.55000000000000004">
      <c r="A696" s="30">
        <v>602</v>
      </c>
      <c r="B696" s="6" t="s">
        <v>554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27">
        <f>HYPERLINK("[N&amp;P Old retention.xlsx]'Lake P Results'!M242", 251.034)</f>
        <v>251.03399999999999</v>
      </c>
      <c r="AW696" s="27">
        <f>HYPERLINK("[N&amp;P New retention.xlsx]'Lake P Results'!M242", 356.614)</f>
        <v>356.61399999999998</v>
      </c>
      <c r="AX696" s="27">
        <f>HYPERLINK("[N&amp;P with New retention and Differentiation.xlsx]'Lake P Results'!M242", 356.614)</f>
        <v>356.61399999999998</v>
      </c>
      <c r="AY696" s="46">
        <f>AW696-AV696</f>
        <v>105.57999999999998</v>
      </c>
      <c r="AZ696" s="46">
        <f>AX696-AV696</f>
        <v>105.57999999999998</v>
      </c>
      <c r="BA696" s="18"/>
      <c r="BB696" s="18"/>
      <c r="BC696" s="18"/>
      <c r="BD696" s="18"/>
      <c r="BE696" s="18"/>
      <c r="BF696" s="27">
        <f>HYPERLINK("[N&amp;P Old retention.xlsx]'Lake P Results'!R242", 0.37)</f>
        <v>0.37</v>
      </c>
      <c r="BG696" s="18"/>
      <c r="BH696" s="18"/>
      <c r="BI696" s="47">
        <f>BG696-BF696</f>
        <v>-0.37</v>
      </c>
      <c r="BJ696" s="47">
        <f>BH696-BF696</f>
        <v>-0.37</v>
      </c>
      <c r="BK696" s="27">
        <f>HYPERLINK("[N&amp;P Old retention.xlsx]'Lake P Results'!Q242", 18.42)</f>
        <v>18.420000000000002</v>
      </c>
      <c r="BL696" s="27">
        <f>HYPERLINK("[N&amp;P New retention.xlsx]'Lake P Results'!Q242", 6.38)</f>
        <v>6.38</v>
      </c>
      <c r="BM696" s="27">
        <f>HYPERLINK("[N&amp;P with New retention and Differentiation.xlsx]'Lake P Results'!Q242", 6.38)</f>
        <v>6.38</v>
      </c>
      <c r="BN696" s="47">
        <f>BL696-BK696</f>
        <v>-12.040000000000003</v>
      </c>
      <c r="BO696" s="47">
        <f>BM696-BK696</f>
        <v>-12.040000000000003</v>
      </c>
    </row>
    <row r="697" spans="1:67" x14ac:dyDescent="0.55000000000000004">
      <c r="A697" s="31">
        <v>605</v>
      </c>
      <c r="B697" s="5" t="s">
        <v>555</v>
      </c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29">
        <f>HYPERLINK("[N&amp;P Old retention.xlsx]'Lake P Results'!M243", 25.28)</f>
        <v>25.28</v>
      </c>
      <c r="AW697" s="29">
        <f>HYPERLINK("[N&amp;P New retention.xlsx]'Lake P Results'!M243", 25.28)</f>
        <v>25.28</v>
      </c>
      <c r="AX697" s="29">
        <f>HYPERLINK("[N&amp;P with New retention and Differentiation.xlsx]'Lake P Results'!M243", 25.28)</f>
        <v>25.28</v>
      </c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29">
        <f>HYPERLINK("[N&amp;P Old retention.xlsx]'Lake P Results'!Q243", 0.19)</f>
        <v>0.19</v>
      </c>
      <c r="BL697" s="29">
        <f>HYPERLINK("[N&amp;P New retention.xlsx]'Lake P Results'!Q243", 0.19)</f>
        <v>0.19</v>
      </c>
      <c r="BM697" s="29">
        <f>HYPERLINK("[N&amp;P with New retention and Differentiation.xlsx]'Lake P Results'!Q243", 0.19)</f>
        <v>0.19</v>
      </c>
      <c r="BN697" s="13"/>
      <c r="BO697" s="13"/>
    </row>
    <row r="698" spans="1:67" x14ac:dyDescent="0.55000000000000004">
      <c r="A698" s="30">
        <v>606</v>
      </c>
      <c r="B698" s="6" t="s">
        <v>556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27">
        <f>HYPERLINK("[N&amp;P Old retention.xlsx]'Lake P Results'!M244", 11.25)</f>
        <v>11.25</v>
      </c>
      <c r="AW698" s="27">
        <f>HYPERLINK("[N&amp;P New retention.xlsx]'Lake P Results'!M244", 12.9299999999685)</f>
        <v>12.9299999999685</v>
      </c>
      <c r="AX698" s="27">
        <f>HYPERLINK("[N&amp;P with New retention and Differentiation.xlsx]'Lake P Results'!M244", 12.93)</f>
        <v>12.93</v>
      </c>
      <c r="AY698" s="46">
        <f>AW698-AV698</f>
        <v>1.6799999999684996</v>
      </c>
      <c r="AZ698" s="46">
        <f>AX698-AV698</f>
        <v>1.6799999999999997</v>
      </c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27">
        <f>HYPERLINK("[N&amp;P Old retention.xlsx]'Lake P Results'!Q244", 0.28)</f>
        <v>0.28000000000000003</v>
      </c>
      <c r="BL698" s="27">
        <f>HYPERLINK("[N&amp;P New retention.xlsx]'Lake P Results'!Q244", 0.28)</f>
        <v>0.28000000000000003</v>
      </c>
      <c r="BM698" s="27">
        <f>HYPERLINK("[N&amp;P with New retention and Differentiation.xlsx]'Lake P Results'!Q244", 0.28)</f>
        <v>0.28000000000000003</v>
      </c>
      <c r="BN698" s="18"/>
      <c r="BO698" s="18"/>
    </row>
    <row r="699" spans="1:67" x14ac:dyDescent="0.55000000000000004">
      <c r="A699" s="31">
        <v>607</v>
      </c>
      <c r="B699" s="5" t="s">
        <v>557</v>
      </c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29">
        <f>HYPERLINK("[N&amp;P New retention.xlsx]'Lake P Results'!Z245", 1.98)</f>
        <v>1.98</v>
      </c>
      <c r="AD699" s="29">
        <f>HYPERLINK("[N&amp;P with New retention and Differentiation.xlsx]'Lake P Results'!Z245", 1.98)</f>
        <v>1.98</v>
      </c>
      <c r="AE699" s="46">
        <f>AC699-AB699</f>
        <v>1.98</v>
      </c>
      <c r="AF699" s="46">
        <f>AD699-AB699</f>
        <v>1.98</v>
      </c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29">
        <f>HYPERLINK("[N&amp;P New retention.xlsx]'Lake P Results'!O245", 8.84)</f>
        <v>8.84</v>
      </c>
      <c r="BC699" s="29">
        <f>HYPERLINK("[N&amp;P with New retention and Differentiation.xlsx]'Lake P Results'!O245", 8.84)</f>
        <v>8.84</v>
      </c>
      <c r="BD699" s="46">
        <f>BB699-BA699</f>
        <v>8.84</v>
      </c>
      <c r="BE699" s="46">
        <f>BC699-BA699</f>
        <v>8.84</v>
      </c>
      <c r="BF699" s="29">
        <f>HYPERLINK("[N&amp;P Old retention.xlsx]'Lake P Results'!R245", 1.37)</f>
        <v>1.37</v>
      </c>
      <c r="BG699" s="13"/>
      <c r="BH699" s="13"/>
      <c r="BI699" s="47">
        <f>BG699-BF699</f>
        <v>-1.37</v>
      </c>
      <c r="BJ699" s="47">
        <f>BH699-BF699</f>
        <v>-1.37</v>
      </c>
      <c r="BK699" s="29">
        <f>HYPERLINK("[N&amp;P Old retention.xlsx]'Lake P Results'!Q245", 7.3)</f>
        <v>7.3</v>
      </c>
      <c r="BL699" s="29">
        <f>HYPERLINK("[N&amp;P New retention.xlsx]'Lake P Results'!Q245", 14.38)</f>
        <v>14.38</v>
      </c>
      <c r="BM699" s="29">
        <f>HYPERLINK("[N&amp;P with New retention and Differentiation.xlsx]'Lake P Results'!Q245", 14.38)</f>
        <v>14.38</v>
      </c>
      <c r="BN699" s="46">
        <f>BL699-BK699</f>
        <v>7.080000000000001</v>
      </c>
      <c r="BO699" s="46">
        <f>BM699-BK699</f>
        <v>7.080000000000001</v>
      </c>
    </row>
    <row r="700" spans="1:67" x14ac:dyDescent="0.55000000000000004">
      <c r="A700" s="30">
        <v>608</v>
      </c>
      <c r="B700" s="6" t="s">
        <v>558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</row>
    <row r="701" spans="1:67" x14ac:dyDescent="0.55000000000000004">
      <c r="A701" s="31">
        <v>609</v>
      </c>
      <c r="B701" s="5" t="s">
        <v>559</v>
      </c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</row>
    <row r="702" spans="1:67" x14ac:dyDescent="0.55000000000000004">
      <c r="A702" s="30">
        <v>610</v>
      </c>
      <c r="B702" s="6" t="s">
        <v>560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</row>
    <row r="703" spans="1:67" x14ac:dyDescent="0.55000000000000004">
      <c r="A703" s="31">
        <v>612</v>
      </c>
      <c r="B703" s="5" t="s">
        <v>561</v>
      </c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</row>
    <row r="704" spans="1:67" x14ac:dyDescent="0.55000000000000004">
      <c r="A704" s="30">
        <v>615</v>
      </c>
      <c r="B704" s="6" t="s">
        <v>562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27">
        <f>HYPERLINK("[N&amp;P Old retention.xlsx]'Lake P Results'!M250", 30.826)</f>
        <v>30.826000000000001</v>
      </c>
      <c r="AW704" s="27">
        <f>HYPERLINK("[N&amp;P New retention.xlsx]'Lake P Results'!M250", 9.62)</f>
        <v>9.6199999999999992</v>
      </c>
      <c r="AX704" s="27">
        <f>HYPERLINK("[N&amp;P with New retention and Differentiation.xlsx]'Lake P Results'!M250", 18.38)</f>
        <v>18.38</v>
      </c>
      <c r="AY704" s="47">
        <f>AW704-AV704</f>
        <v>-21.206000000000003</v>
      </c>
      <c r="AZ704" s="47">
        <f>AX704-AV704</f>
        <v>-12.446000000000002</v>
      </c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27">
        <f>HYPERLINK("[N&amp;P Old retention.xlsx]'Lake P Results'!Q250", 16.242)</f>
        <v>16.242000000000001</v>
      </c>
      <c r="BL704" s="27">
        <f>HYPERLINK("[N&amp;P New retention.xlsx]'Lake P Results'!Q250", 15.952)</f>
        <v>15.952</v>
      </c>
      <c r="BM704" s="27">
        <f>HYPERLINK("[N&amp;P with New retention and Differentiation.xlsx]'Lake P Results'!Q250", 15.952)</f>
        <v>15.952</v>
      </c>
      <c r="BN704" s="47">
        <f>BL704-BK704</f>
        <v>-0.29000000000000092</v>
      </c>
      <c r="BO704" s="47">
        <f>BM704-BK704</f>
        <v>-0.29000000000000092</v>
      </c>
    </row>
    <row r="705" spans="1:67" x14ac:dyDescent="0.55000000000000004">
      <c r="A705" s="31">
        <v>622</v>
      </c>
      <c r="B705" s="5" t="s">
        <v>563</v>
      </c>
      <c r="C705" s="13"/>
      <c r="D705" s="13"/>
      <c r="E705" s="13"/>
      <c r="F705" s="13"/>
      <c r="G705" s="13"/>
      <c r="H705" s="28">
        <f>HYPERLINK("[N&amp;P Old retention.xlsx]'Lake P Results'!AM251", 20000)</f>
        <v>20000</v>
      </c>
      <c r="I705" s="28">
        <f>HYPERLINK("[N&amp;P New retention.xlsx]'Lake P Results'!AM251", 19100)</f>
        <v>19100</v>
      </c>
      <c r="J705" s="28">
        <f>HYPERLINK("[N&amp;P with New retention and Differentiation.xlsx]'Lake P Results'!AM251", 19200)</f>
        <v>19200</v>
      </c>
      <c r="K705" s="21">
        <f>I705-H705</f>
        <v>-900</v>
      </c>
      <c r="L705" s="21">
        <f>J705-H705</f>
        <v>-800</v>
      </c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29">
        <f>HYPERLINK("[N&amp;P Old retention.xlsx]'Lake P Results'!Z251", 1.26)</f>
        <v>1.26</v>
      </c>
      <c r="AC705" s="29">
        <f>HYPERLINK("[N&amp;P New retention.xlsx]'Lake P Results'!Z251", 1.26)</f>
        <v>1.26</v>
      </c>
      <c r="AD705" s="29">
        <f>HYPERLINK("[N&amp;P with New retention and Differentiation.xlsx]'Lake P Results'!Z251", 1.26)</f>
        <v>1.26</v>
      </c>
      <c r="AE705" s="13"/>
      <c r="AF705" s="13"/>
      <c r="AG705" s="13"/>
      <c r="AH705" s="13"/>
      <c r="AI705" s="29">
        <f>HYPERLINK("[N&amp;P with New retention and Differentiation.xlsx]'Lake P Results'!AA251", 0.0700000000000003)</f>
        <v>7.0000000000000298E-2</v>
      </c>
      <c r="AJ705" s="13"/>
      <c r="AK705" s="46">
        <f>AI705-AG705</f>
        <v>7.0000000000000298E-2</v>
      </c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29">
        <f>HYPERLINK("[N&amp;P Old retention.xlsx]'Lake P Results'!O251", 609.26)</f>
        <v>609.26</v>
      </c>
      <c r="BB705" s="29">
        <f>HYPERLINK("[N&amp;P New retention.xlsx]'Lake P Results'!O251", 1676.384)</f>
        <v>1676.384</v>
      </c>
      <c r="BC705" s="29">
        <f>HYPERLINK("[N&amp;P with New retention and Differentiation.xlsx]'Lake P Results'!O251", 1588.502)</f>
        <v>1588.502</v>
      </c>
      <c r="BD705" s="46">
        <f>BB705-BA705</f>
        <v>1067.124</v>
      </c>
      <c r="BE705" s="46">
        <f>BC705-BA705</f>
        <v>979.24199999999996</v>
      </c>
      <c r="BF705" s="29">
        <f>HYPERLINK("[N&amp;P Old retention.xlsx]'Lake P Results'!R251", 301.305345238095)</f>
        <v>301.30534523809501</v>
      </c>
      <c r="BG705" s="29">
        <f>HYPERLINK("[N&amp;P New retention.xlsx]'Lake P Results'!R251", 70.022)</f>
        <v>70.022000000000006</v>
      </c>
      <c r="BH705" s="29">
        <f>HYPERLINK("[N&amp;P with New retention and Differentiation.xlsx]'Lake P Results'!R251", 75.722)</f>
        <v>75.721999999999994</v>
      </c>
      <c r="BI705" s="47">
        <f>BG705-BF705</f>
        <v>-231.28334523809502</v>
      </c>
      <c r="BJ705" s="47">
        <f>BH705-BF705</f>
        <v>-225.58334523809503</v>
      </c>
      <c r="BK705" s="29">
        <f>HYPERLINK("[N&amp;P Old retention.xlsx]'Lake P Results'!Q251", 402.397482474006)</f>
        <v>402.39748247400598</v>
      </c>
      <c r="BL705" s="29">
        <f>HYPERLINK("[N&amp;P New retention.xlsx]'Lake P Results'!Q251", 471.481482474006)</f>
        <v>471.48148247400599</v>
      </c>
      <c r="BM705" s="29">
        <f>HYPERLINK("[N&amp;P with New retention and Differentiation.xlsx]'Lake P Results'!Q251", 474.607368421053)</f>
        <v>474.60736842105302</v>
      </c>
      <c r="BN705" s="46">
        <f>BL705-BK705</f>
        <v>69.084000000000003</v>
      </c>
      <c r="BO705" s="46">
        <f>BM705-BK705</f>
        <v>72.209885947047042</v>
      </c>
    </row>
    <row r="706" spans="1:67" x14ac:dyDescent="0.55000000000000004">
      <c r="A706" s="30">
        <v>623</v>
      </c>
      <c r="B706" s="6" t="s">
        <v>564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27">
        <f>HYPERLINK("[N&amp;P Old retention.xlsx]'Lake P Results'!O252", 3.99)</f>
        <v>3.99</v>
      </c>
      <c r="BB706" s="27">
        <f>HYPERLINK("[N&amp;P New retention.xlsx]'Lake P Results'!O252", 3.99)</f>
        <v>3.99</v>
      </c>
      <c r="BC706" s="18"/>
      <c r="BD706" s="18"/>
      <c r="BE706" s="47">
        <f>BC706-BA706</f>
        <v>-3.99</v>
      </c>
      <c r="BF706" s="18"/>
      <c r="BG706" s="18"/>
      <c r="BH706" s="18"/>
      <c r="BI706" s="18"/>
      <c r="BJ706" s="18"/>
      <c r="BK706" s="27">
        <f>HYPERLINK("[N&amp;P Old retention.xlsx]'Lake P Results'!Q252", 13.45)</f>
        <v>13.45</v>
      </c>
      <c r="BL706" s="27">
        <f>HYPERLINK("[N&amp;P New retention.xlsx]'Lake P Results'!Q252", 13.45)</f>
        <v>13.45</v>
      </c>
      <c r="BM706" s="27">
        <f>HYPERLINK("[N&amp;P with New retention and Differentiation.xlsx]'Lake P Results'!Q252", 13.45)</f>
        <v>13.45</v>
      </c>
      <c r="BN706" s="18"/>
      <c r="BO706" s="18"/>
    </row>
    <row r="707" spans="1:67" x14ac:dyDescent="0.55000000000000004">
      <c r="A707" s="31">
        <v>632</v>
      </c>
      <c r="B707" s="5" t="s">
        <v>565</v>
      </c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</row>
    <row r="708" spans="1:67" x14ac:dyDescent="0.55000000000000004">
      <c r="A708" s="30">
        <v>633</v>
      </c>
      <c r="B708" s="6" t="s">
        <v>566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</row>
    <row r="709" spans="1:67" x14ac:dyDescent="0.55000000000000004">
      <c r="A709" s="31">
        <v>639</v>
      </c>
      <c r="B709" s="5" t="s">
        <v>567</v>
      </c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29">
        <f>HYPERLINK("[N&amp;P New retention.xlsx]'Lake P Results'!O255", 38.76)</f>
        <v>38.76</v>
      </c>
      <c r="BC709" s="29">
        <f>HYPERLINK("[N&amp;P with New retention and Differentiation.xlsx]'Lake P Results'!O255", 38.76)</f>
        <v>38.76</v>
      </c>
      <c r="BD709" s="46">
        <f>BB709-BA709</f>
        <v>38.76</v>
      </c>
      <c r="BE709" s="46">
        <f>BC709-BA709</f>
        <v>38.76</v>
      </c>
      <c r="BF709" s="13"/>
      <c r="BG709" s="13"/>
      <c r="BH709" s="13"/>
      <c r="BI709" s="13"/>
      <c r="BJ709" s="13"/>
      <c r="BK709" s="29">
        <f>HYPERLINK("[N&amp;P Old retention.xlsx]'Lake P Results'!Q255", 0.0399999999999999)</f>
        <v>3.9999999999999897E-2</v>
      </c>
      <c r="BL709" s="13"/>
      <c r="BM709" s="13"/>
      <c r="BN709" s="47">
        <f>BL709-BK709</f>
        <v>-3.9999999999999897E-2</v>
      </c>
      <c r="BO709" s="47">
        <f>BM709-BK709</f>
        <v>-3.9999999999999897E-2</v>
      </c>
    </row>
    <row r="710" spans="1:67" x14ac:dyDescent="0.55000000000000004">
      <c r="A710" s="30">
        <v>641</v>
      </c>
      <c r="B710" s="6" t="s">
        <v>568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27">
        <f>HYPERLINK("[N&amp;P Old retention.xlsx]'Lake P Results'!R256", 20.94)</f>
        <v>20.94</v>
      </c>
      <c r="BG710" s="27">
        <f>HYPERLINK("[N&amp;P New retention.xlsx]'Lake P Results'!R256", 3.73)</f>
        <v>3.73</v>
      </c>
      <c r="BH710" s="27">
        <f>HYPERLINK("[N&amp;P with New retention and Differentiation.xlsx]'Lake P Results'!R256", 16.29)</f>
        <v>16.29</v>
      </c>
      <c r="BI710" s="47">
        <f>BG710-BF710</f>
        <v>-17.21</v>
      </c>
      <c r="BJ710" s="47">
        <f>BH710-BF710</f>
        <v>-4.6500000000000021</v>
      </c>
      <c r="BK710" s="27">
        <f>HYPERLINK("[N&amp;P Old retention.xlsx]'Lake P Results'!Q256", 30.92)</f>
        <v>30.92</v>
      </c>
      <c r="BL710" s="27">
        <f>HYPERLINK("[N&amp;P New retention.xlsx]'Lake P Results'!Q256", 44.962)</f>
        <v>44.962000000000003</v>
      </c>
      <c r="BM710" s="27">
        <f>HYPERLINK("[N&amp;P with New retention and Differentiation.xlsx]'Lake P Results'!Q256", 44.962)</f>
        <v>44.962000000000003</v>
      </c>
      <c r="BN710" s="46">
        <f>BL710-BK710</f>
        <v>14.042000000000002</v>
      </c>
      <c r="BO710" s="46">
        <f>BM710-BK710</f>
        <v>14.042000000000002</v>
      </c>
    </row>
    <row r="711" spans="1:67" x14ac:dyDescent="0.55000000000000004">
      <c r="A711" s="31">
        <v>642</v>
      </c>
      <c r="B711" s="5" t="s">
        <v>569</v>
      </c>
      <c r="C711" s="13"/>
      <c r="D711" s="13"/>
      <c r="E711" s="13"/>
      <c r="F711" s="13"/>
      <c r="G711" s="13"/>
      <c r="H711" s="28">
        <f>HYPERLINK("[N&amp;P Old retention.xlsx]'Lake P Results'!AM257", 4600)</f>
        <v>4600</v>
      </c>
      <c r="I711" s="28">
        <f>HYPERLINK("[N&amp;P New retention.xlsx]'Lake P Results'!AM257", 4500)</f>
        <v>4500</v>
      </c>
      <c r="J711" s="28">
        <f>HYPERLINK("[N&amp;P with New retention and Differentiation.xlsx]'Lake P Results'!AM257", 4500)</f>
        <v>4500</v>
      </c>
      <c r="K711" s="21">
        <f>I711-H711</f>
        <v>-100</v>
      </c>
      <c r="L711" s="21">
        <f>J711-H711</f>
        <v>-100</v>
      </c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29">
        <f>HYPERLINK("[N&amp;P Old retention.xlsx]'Lake P Results'!O257", 231.956)</f>
        <v>231.95599999999999</v>
      </c>
      <c r="BB711" s="29">
        <f>HYPERLINK("[N&amp;P New retention.xlsx]'Lake P Results'!O257", 139.802)</f>
        <v>139.80199999999999</v>
      </c>
      <c r="BC711" s="29">
        <f>HYPERLINK("[N&amp;P with New retention and Differentiation.xlsx]'Lake P Results'!O257", 134.892)</f>
        <v>134.892</v>
      </c>
      <c r="BD711" s="47">
        <f>BB711-BA711</f>
        <v>-92.153999999999996</v>
      </c>
      <c r="BE711" s="47">
        <f>BC711-BA711</f>
        <v>-97.063999999999993</v>
      </c>
      <c r="BF711" s="29">
        <f>HYPERLINK("[N&amp;P Old retention.xlsx]'Lake P Results'!R257", 167.368)</f>
        <v>167.36799999999999</v>
      </c>
      <c r="BG711" s="29">
        <f>HYPERLINK("[N&amp;P New retention.xlsx]'Lake P Results'!R257", 84.364)</f>
        <v>84.364000000000004</v>
      </c>
      <c r="BH711" s="29">
        <f>HYPERLINK("[N&amp;P with New retention and Differentiation.xlsx]'Lake P Results'!R257", 97.614)</f>
        <v>97.614000000000004</v>
      </c>
      <c r="BI711" s="47">
        <f>BG711-BF711</f>
        <v>-83.003999999999991</v>
      </c>
      <c r="BJ711" s="47">
        <f>BH711-BF711</f>
        <v>-69.753999999999991</v>
      </c>
      <c r="BK711" s="29">
        <f>HYPERLINK("[N&amp;P Old retention.xlsx]'Lake P Results'!Q257", 83.9224330223552)</f>
        <v>83.922433022355193</v>
      </c>
      <c r="BL711" s="29">
        <f>HYPERLINK("[N&amp;P New retention.xlsx]'Lake P Results'!Q257", 82.8924330223552)</f>
        <v>82.892433022355206</v>
      </c>
      <c r="BM711" s="29">
        <f>HYPERLINK("[N&amp;P with New retention and Differentiation.xlsx]'Lake P Results'!Q257", 83.6124330223552)</f>
        <v>83.612433022355205</v>
      </c>
      <c r="BN711" s="47">
        <f>BL711-BK711</f>
        <v>-1.0299999999999869</v>
      </c>
      <c r="BO711" s="47">
        <f>BM711-BK711</f>
        <v>-0.30999999999998806</v>
      </c>
    </row>
    <row r="712" spans="1:67" x14ac:dyDescent="0.55000000000000004">
      <c r="A712" s="30">
        <v>646</v>
      </c>
      <c r="B712" s="6" t="s">
        <v>570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</row>
    <row r="713" spans="1:67" x14ac:dyDescent="0.55000000000000004">
      <c r="A713" s="31">
        <v>647</v>
      </c>
      <c r="B713" s="5" t="s">
        <v>571</v>
      </c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</row>
    <row r="714" spans="1:67" x14ac:dyDescent="0.55000000000000004">
      <c r="A714" s="30">
        <v>650</v>
      </c>
      <c r="B714" s="6" t="s">
        <v>572</v>
      </c>
      <c r="C714" s="27">
        <f>HYPERLINK("[N&amp;P Old retention.xlsx]'Lake P Results'!AE260", 9.42829787234043)</f>
        <v>9.4282978723404298</v>
      </c>
      <c r="D714" s="27">
        <f>HYPERLINK("[N&amp;P New retention.xlsx]'Lake P Results'!AE260", 9.42829787234043)</f>
        <v>9.4282978723404298</v>
      </c>
      <c r="E714" s="27">
        <f>HYPERLINK("[N&amp;P with New retention and Differentiation.xlsx]'Lake P Results'!AE260", 9.42829787234043)</f>
        <v>9.4282978723404298</v>
      </c>
      <c r="F714" s="18"/>
      <c r="G714" s="18"/>
      <c r="H714" s="26">
        <f>HYPERLINK("[N&amp;P Old retention.xlsx]'Lake P Results'!AM260", 140500)</f>
        <v>140500</v>
      </c>
      <c r="I714" s="26">
        <f>HYPERLINK("[N&amp;P New retention.xlsx]'Lake P Results'!AM260", 140500)</f>
        <v>140500</v>
      </c>
      <c r="J714" s="26">
        <f>HYPERLINK("[N&amp;P with New retention and Differentiation.xlsx]'Lake P Results'!AM260", 140500)</f>
        <v>140500</v>
      </c>
      <c r="K714" s="18"/>
      <c r="L714" s="18"/>
      <c r="M714" s="27">
        <f>HYPERLINK("[N&amp;P Old retention.xlsx]'Lake P Results'!AC260", 47.194)</f>
        <v>47.194000000000003</v>
      </c>
      <c r="N714" s="27">
        <f>HYPERLINK("[N&amp;P New retention.xlsx]'Lake P Results'!AC260", 47.194)</f>
        <v>47.194000000000003</v>
      </c>
      <c r="O714" s="27">
        <f>HYPERLINK("[N&amp;P with New retention and Differentiation.xlsx]'Lake P Results'!AC260", 47.194)</f>
        <v>47.194000000000003</v>
      </c>
      <c r="P714" s="18"/>
      <c r="Q714" s="18"/>
      <c r="R714" s="27">
        <f>HYPERLINK("[N&amp;P Old retention.xlsx]'Lake P Results'!Y260", 952.392)</f>
        <v>952.39200000000005</v>
      </c>
      <c r="S714" s="27">
        <f>HYPERLINK("[N&amp;P New retention.xlsx]'Lake P Results'!Y260", 952.392)</f>
        <v>952.39200000000005</v>
      </c>
      <c r="T714" s="27">
        <f>HYPERLINK("[N&amp;P with New retention and Differentiation.xlsx]'Lake P Results'!Y260", 952.392)</f>
        <v>952.39200000000005</v>
      </c>
      <c r="U714" s="18"/>
      <c r="V714" s="18"/>
      <c r="W714" s="27">
        <f>HYPERLINK("[N&amp;P Old retention.xlsx]'Lake P Results'!V260", 570.85)</f>
        <v>570.85</v>
      </c>
      <c r="X714" s="27">
        <f>HYPERLINK("[N&amp;P New retention.xlsx]'Lake P Results'!V260", 570.85)</f>
        <v>570.85</v>
      </c>
      <c r="Y714" s="27">
        <f>HYPERLINK("[N&amp;P with New retention and Differentiation.xlsx]'Lake P Results'!V260", 570.85)</f>
        <v>570.85</v>
      </c>
      <c r="Z714" s="18"/>
      <c r="AA714" s="18"/>
      <c r="AB714" s="27">
        <f>HYPERLINK("[N&amp;P Old retention.xlsx]'Lake P Results'!Z260", 10.2)</f>
        <v>10.199999999999999</v>
      </c>
      <c r="AC714" s="27">
        <f>HYPERLINK("[N&amp;P New retention.xlsx]'Lake P Results'!Z260", 10.2)</f>
        <v>10.199999999999999</v>
      </c>
      <c r="AD714" s="27">
        <f>HYPERLINK("[N&amp;P with New retention and Differentiation.xlsx]'Lake P Results'!Z260", 10.2)</f>
        <v>10.199999999999999</v>
      </c>
      <c r="AE714" s="18"/>
      <c r="AF714" s="18"/>
      <c r="AG714" s="18"/>
      <c r="AH714" s="18"/>
      <c r="AI714" s="18"/>
      <c r="AJ714" s="18"/>
      <c r="AK714" s="18"/>
      <c r="AL714" s="27">
        <f>HYPERLINK("[N&amp;P Old retention.xlsx]'Lake P Results'!AF260", 0.41)</f>
        <v>0.41</v>
      </c>
      <c r="AM714" s="27">
        <f>HYPERLINK("[N&amp;P New retention.xlsx]'Lake P Results'!AF260", 0.41)</f>
        <v>0.41</v>
      </c>
      <c r="AN714" s="27">
        <f>HYPERLINK("[N&amp;P with New retention and Differentiation.xlsx]'Lake P Results'!AF260", 0.41)</f>
        <v>0.41</v>
      </c>
      <c r="AO714" s="18"/>
      <c r="AP714" s="18"/>
      <c r="AQ714" s="26">
        <f>HYPERLINK("[N&amp;P Old retention.xlsx]'Lake P Results'!AH260", 7669.99999999798)</f>
        <v>7669.99999999798</v>
      </c>
      <c r="AR714" s="26">
        <f>HYPERLINK("[N&amp;P New retention.xlsx]'Lake P Results'!AH260", 7669.99999999798)</f>
        <v>7669.99999999798</v>
      </c>
      <c r="AS714" s="26">
        <f>HYPERLINK("[N&amp;P with New retention and Differentiation.xlsx]'Lake P Results'!AH260", 7669.99999999798)</f>
        <v>7669.99999999798</v>
      </c>
      <c r="AT714" s="18"/>
      <c r="AU714" s="18"/>
      <c r="AV714" s="27">
        <f>HYPERLINK("[N&amp;P Old retention.xlsx]'Lake P Results'!M260", 1514.95582886106)</f>
        <v>1514.9558288610599</v>
      </c>
      <c r="AW714" s="27">
        <f>HYPERLINK("[N&amp;P New retention.xlsx]'Lake P Results'!M260", 1514.95582886106)</f>
        <v>1514.9558288610599</v>
      </c>
      <c r="AX714" s="27">
        <f>HYPERLINK("[N&amp;P with New retention and Differentiation.xlsx]'Lake P Results'!M260", 1514.95582886106)</f>
        <v>1514.9558288610599</v>
      </c>
      <c r="AY714" s="18"/>
      <c r="AZ714" s="18"/>
      <c r="BA714" s="27">
        <f>HYPERLINK("[N&amp;P Old retention.xlsx]'Lake P Results'!O260", 7103.666)</f>
        <v>7103.6660000000002</v>
      </c>
      <c r="BB714" s="27">
        <f>HYPERLINK("[N&amp;P New retention.xlsx]'Lake P Results'!O260", 7103.666)</f>
        <v>7103.6660000000002</v>
      </c>
      <c r="BC714" s="27">
        <f>HYPERLINK("[N&amp;P with New retention and Differentiation.xlsx]'Lake P Results'!O260", 7103.666)</f>
        <v>7103.6660000000002</v>
      </c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</row>
    <row r="715" spans="1:67" x14ac:dyDescent="0.55000000000000004">
      <c r="A715" s="31">
        <v>651</v>
      </c>
      <c r="B715" s="5" t="s">
        <v>573</v>
      </c>
      <c r="C715" s="13"/>
      <c r="D715" s="13"/>
      <c r="E715" s="13"/>
      <c r="F715" s="13"/>
      <c r="G715" s="13"/>
      <c r="H715" s="28">
        <f>HYPERLINK("[N&amp;P Old retention.xlsx]'Lake P Results'!AM261", 1100)</f>
        <v>1100</v>
      </c>
      <c r="I715" s="28">
        <f>HYPERLINK("[N&amp;P New retention.xlsx]'Lake P Results'!AM261", 1000)</f>
        <v>1000</v>
      </c>
      <c r="J715" s="28">
        <f>HYPERLINK("[N&amp;P with New retention and Differentiation.xlsx]'Lake P Results'!AM261", 1200)</f>
        <v>1200</v>
      </c>
      <c r="K715" s="21">
        <f>I715-H715</f>
        <v>-100</v>
      </c>
      <c r="L715" s="16">
        <f>J715-H715</f>
        <v>100</v>
      </c>
      <c r="M715" s="29">
        <f>HYPERLINK("[N&amp;P Old retention.xlsx]'Lake P Results'!AC261", 153.898)</f>
        <v>153.898</v>
      </c>
      <c r="N715" s="29">
        <f>HYPERLINK("[N&amp;P New retention.xlsx]'Lake P Results'!AC261", 153.45)</f>
        <v>153.44999999999999</v>
      </c>
      <c r="O715" s="29">
        <f>HYPERLINK("[N&amp;P with New retention and Differentiation.xlsx]'Lake P Results'!AC261", 130.97)</f>
        <v>130.97</v>
      </c>
      <c r="P715" s="47">
        <f>N715-M715</f>
        <v>-0.4480000000000075</v>
      </c>
      <c r="Q715" s="47">
        <f>O715-M715</f>
        <v>-22.927999999999997</v>
      </c>
      <c r="R715" s="29">
        <f>HYPERLINK("[N&amp;P Old retention.xlsx]'Lake P Results'!Y261", 53.738)</f>
        <v>53.738</v>
      </c>
      <c r="S715" s="29">
        <f>HYPERLINK("[N&amp;P New retention.xlsx]'Lake P Results'!Y261", 53.722)</f>
        <v>53.722000000000001</v>
      </c>
      <c r="T715" s="29">
        <f>HYPERLINK("[N&amp;P with New retention and Differentiation.xlsx]'Lake P Results'!Y261", 64.564)</f>
        <v>64.563999999999993</v>
      </c>
      <c r="U715" s="47">
        <f>S715-R715</f>
        <v>-1.5999999999998238E-2</v>
      </c>
      <c r="V715" s="46">
        <f>T715-R715</f>
        <v>10.825999999999993</v>
      </c>
      <c r="W715" s="13"/>
      <c r="X715" s="29">
        <f>HYPERLINK("[N&amp;P New retention.xlsx]'Lake P Results'!V261", 0.448)</f>
        <v>0.44800000000000001</v>
      </c>
      <c r="Y715" s="29">
        <f>HYPERLINK("[N&amp;P with New retention and Differentiation.xlsx]'Lake P Results'!V261", 25.728)</f>
        <v>25.728000000000002</v>
      </c>
      <c r="Z715" s="46">
        <f>X715-W715</f>
        <v>0.44800000000000001</v>
      </c>
      <c r="AA715" s="46">
        <f>Y715-W715</f>
        <v>25.728000000000002</v>
      </c>
      <c r="AB715" s="13"/>
      <c r="AC715" s="13"/>
      <c r="AD715" s="13"/>
      <c r="AE715" s="13"/>
      <c r="AF715" s="13"/>
      <c r="AG715" s="29">
        <f>HYPERLINK("[N&amp;P Old retention.xlsx]'Lake P Results'!AA261", 6.21)</f>
        <v>6.21</v>
      </c>
      <c r="AH715" s="29">
        <f>HYPERLINK("[N&amp;P New retention.xlsx]'Lake P Results'!AA261", 6.21)</f>
        <v>6.21</v>
      </c>
      <c r="AI715" s="29">
        <f>HYPERLINK("[N&amp;P with New retention and Differentiation.xlsx]'Lake P Results'!AA261", 6.21)</f>
        <v>6.21</v>
      </c>
      <c r="AJ715" s="13"/>
      <c r="AK715" s="13"/>
      <c r="AL715" s="13"/>
      <c r="AM715" s="13"/>
      <c r="AN715" s="13"/>
      <c r="AO715" s="13"/>
      <c r="AP715" s="13"/>
      <c r="AQ715" s="28">
        <f>HYPERLINK("[N&amp;P Old retention.xlsx]'Lake P Results'!AH261", 199.999999989851)</f>
        <v>199.99999998985101</v>
      </c>
      <c r="AR715" s="28">
        <f>HYPERLINK("[N&amp;P New retention.xlsx]'Lake P Results'!AH261", 199.999999989851)</f>
        <v>199.99999998985101</v>
      </c>
      <c r="AS715" s="28">
        <f>HYPERLINK("[N&amp;P with New retention and Differentiation.xlsx]'Lake P Results'!AH261", 100)</f>
        <v>100</v>
      </c>
      <c r="AT715" s="13"/>
      <c r="AU715" s="21">
        <f>AS715-AQ715</f>
        <v>-99.999999989851005</v>
      </c>
      <c r="AV715" s="13"/>
      <c r="AW715" s="13"/>
      <c r="AX715" s="29">
        <f>HYPERLINK("[N&amp;P with New retention and Differentiation.xlsx]'Lake P Results'!M261", 22.83)</f>
        <v>22.83</v>
      </c>
      <c r="AY715" s="13"/>
      <c r="AZ715" s="46">
        <f>AX715-AV715</f>
        <v>22.83</v>
      </c>
      <c r="BA715" s="13"/>
      <c r="BB715" s="13"/>
      <c r="BC715" s="29">
        <f>HYPERLINK("[N&amp;P with New retention and Differentiation.xlsx]'Lake P Results'!O261", 65.824)</f>
        <v>65.823999999999998</v>
      </c>
      <c r="BD715" s="13"/>
      <c r="BE715" s="46">
        <f>BC715-BA715</f>
        <v>65.823999999999998</v>
      </c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</row>
    <row r="716" spans="1:67" x14ac:dyDescent="0.55000000000000004">
      <c r="A716" s="30">
        <v>654</v>
      </c>
      <c r="B716" s="6" t="s">
        <v>574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</row>
    <row r="717" spans="1:67" x14ac:dyDescent="0.55000000000000004">
      <c r="A717" s="31">
        <v>655</v>
      </c>
      <c r="B717" s="5" t="s">
        <v>575</v>
      </c>
      <c r="C717" s="29">
        <f>HYPERLINK("[N&amp;P Old retention.xlsx]'Lake P Results'!AE263", 5.882)</f>
        <v>5.8819999999999997</v>
      </c>
      <c r="D717" s="29">
        <f>HYPERLINK("[N&amp;P New retention.xlsx]'Lake P Results'!AE263", 5.882)</f>
        <v>5.8819999999999997</v>
      </c>
      <c r="E717" s="29">
        <f>HYPERLINK("[N&amp;P with New retention and Differentiation.xlsx]'Lake P Results'!AE263", 5.882)</f>
        <v>5.8819999999999997</v>
      </c>
      <c r="F717" s="13"/>
      <c r="G717" s="13"/>
      <c r="H717" s="28">
        <f>HYPERLINK("[N&amp;P Old retention.xlsx]'Lake P Results'!AM263", 125500)</f>
        <v>125500</v>
      </c>
      <c r="I717" s="28">
        <f>HYPERLINK("[N&amp;P New retention.xlsx]'Lake P Results'!AM263", 125500)</f>
        <v>125500</v>
      </c>
      <c r="J717" s="28">
        <f>HYPERLINK("[N&amp;P with New retention and Differentiation.xlsx]'Lake P Results'!AM263", 125500)</f>
        <v>125500</v>
      </c>
      <c r="K717" s="13"/>
      <c r="L717" s="13"/>
      <c r="M717" s="29">
        <f>HYPERLINK("[N&amp;P Old retention.xlsx]'Lake P Results'!AC263", 216.08)</f>
        <v>216.08</v>
      </c>
      <c r="N717" s="29">
        <f>HYPERLINK("[N&amp;P New retention.xlsx]'Lake P Results'!AC263", 140.782)</f>
        <v>140.78200000000001</v>
      </c>
      <c r="O717" s="29">
        <f>HYPERLINK("[N&amp;P with New retention and Differentiation.xlsx]'Lake P Results'!AC263", 150.086)</f>
        <v>150.08600000000001</v>
      </c>
      <c r="P717" s="47">
        <f>N717-M717</f>
        <v>-75.298000000000002</v>
      </c>
      <c r="Q717" s="47">
        <f>O717-M717</f>
        <v>-65.994</v>
      </c>
      <c r="R717" s="29">
        <f>HYPERLINK("[N&amp;P Old retention.xlsx]'Lake P Results'!Y263", 573.998)</f>
        <v>573.99800000000005</v>
      </c>
      <c r="S717" s="29">
        <f>HYPERLINK("[N&amp;P New retention.xlsx]'Lake P Results'!Y263", 605.3)</f>
        <v>605.29999999999995</v>
      </c>
      <c r="T717" s="29">
        <f>HYPERLINK("[N&amp;P with New retention and Differentiation.xlsx]'Lake P Results'!Y263", 661.854)</f>
        <v>661.85400000000004</v>
      </c>
      <c r="U717" s="46">
        <f>S717-R717</f>
        <v>31.301999999999907</v>
      </c>
      <c r="V717" s="46">
        <f>T717-R717</f>
        <v>87.855999999999995</v>
      </c>
      <c r="W717" s="29">
        <f>HYPERLINK("[N&amp;P Old retention.xlsx]'Lake P Results'!V263", 608.328)</f>
        <v>608.32799999999997</v>
      </c>
      <c r="X717" s="29">
        <f>HYPERLINK("[N&amp;P New retention.xlsx]'Lake P Results'!V263", 608.328)</f>
        <v>608.32799999999997</v>
      </c>
      <c r="Y717" s="29">
        <f>HYPERLINK("[N&amp;P with New retention and Differentiation.xlsx]'Lake P Results'!V263", 608.328)</f>
        <v>608.32799999999997</v>
      </c>
      <c r="Z717" s="13"/>
      <c r="AA717" s="13"/>
      <c r="AB717" s="29">
        <f>HYPERLINK("[N&amp;P Old retention.xlsx]'Lake P Results'!Z263", 145.648)</f>
        <v>145.648</v>
      </c>
      <c r="AC717" s="29">
        <f>HYPERLINK("[N&amp;P New retention.xlsx]'Lake P Results'!Z263", 189.644)</f>
        <v>189.64400000000001</v>
      </c>
      <c r="AD717" s="29">
        <f>HYPERLINK("[N&amp;P with New retention and Differentiation.xlsx]'Lake P Results'!Z263", 123.786)</f>
        <v>123.786</v>
      </c>
      <c r="AE717" s="46">
        <f>AC717-AB717</f>
        <v>43.996000000000009</v>
      </c>
      <c r="AF717" s="47">
        <f>AD717-AB717</f>
        <v>-21.861999999999995</v>
      </c>
      <c r="AG717" s="29">
        <f>HYPERLINK("[N&amp;P Old retention.xlsx]'Lake P Results'!AA263", 16.268)</f>
        <v>16.268000000000001</v>
      </c>
      <c r="AH717" s="29">
        <f>HYPERLINK("[N&amp;P New retention.xlsx]'Lake P Results'!AA263", 16.268)</f>
        <v>16.268000000000001</v>
      </c>
      <c r="AI717" s="29">
        <f>HYPERLINK("[N&amp;P with New retention and Differentiation.xlsx]'Lake P Results'!AA263", 16.268)</f>
        <v>16.268000000000001</v>
      </c>
      <c r="AJ717" s="13"/>
      <c r="AK717" s="13"/>
      <c r="AL717" s="29">
        <f>HYPERLINK("[N&amp;P Old retention.xlsx]'Lake P Results'!AF263", 0.690000000000001)</f>
        <v>0.69000000000000095</v>
      </c>
      <c r="AM717" s="29">
        <f>HYPERLINK("[N&amp;P New retention.xlsx]'Lake P Results'!AF263", 0.690000000000001)</f>
        <v>0.69000000000000095</v>
      </c>
      <c r="AN717" s="29">
        <f>HYPERLINK("[N&amp;P with New retention and Differentiation.xlsx]'Lake P Results'!AF263", 0.690000000000001)</f>
        <v>0.69000000000000095</v>
      </c>
      <c r="AO717" s="13"/>
      <c r="AP717" s="13"/>
      <c r="AQ717" s="28">
        <f>HYPERLINK("[N&amp;P Old retention.xlsx]'Lake P Results'!AH263", 5139.99999999995)</f>
        <v>5139.99999999995</v>
      </c>
      <c r="AR717" s="28">
        <f>HYPERLINK("[N&amp;P New retention.xlsx]'Lake P Results'!AH263", 5139.99999999995)</f>
        <v>5139.99999999995</v>
      </c>
      <c r="AS717" s="28">
        <f>HYPERLINK("[N&amp;P with New retention and Differentiation.xlsx]'Lake P Results'!AH263", 5139.99999999995)</f>
        <v>5139.99999999995</v>
      </c>
      <c r="AT717" s="13"/>
      <c r="AU717" s="13"/>
      <c r="AV717" s="29">
        <f>HYPERLINK("[N&amp;P Old retention.xlsx]'Lake P Results'!M263", 429.82)</f>
        <v>429.82</v>
      </c>
      <c r="AW717" s="29">
        <f>HYPERLINK("[N&amp;P New retention.xlsx]'Lake P Results'!M263", 429.82)</f>
        <v>429.82</v>
      </c>
      <c r="AX717" s="29">
        <f>HYPERLINK("[N&amp;P with New retention and Differentiation.xlsx]'Lake P Results'!M263", 429.82)</f>
        <v>429.82</v>
      </c>
      <c r="AY717" s="13"/>
      <c r="AZ717" s="13"/>
      <c r="BA717" s="29">
        <f>HYPERLINK("[N&amp;P Old retention.xlsx]'Lake P Results'!O263", 5234.37944760751)</f>
        <v>5234.37944760751</v>
      </c>
      <c r="BB717" s="29">
        <f>HYPERLINK("[N&amp;P New retention.xlsx]'Lake P Results'!O263", 5234.37944760751)</f>
        <v>5234.37944760751</v>
      </c>
      <c r="BC717" s="29">
        <f>HYPERLINK("[N&amp;P with New retention and Differentiation.xlsx]'Lake P Results'!O263", 5234.37944760751)</f>
        <v>5234.37944760751</v>
      </c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</row>
    <row r="718" spans="1:67" x14ac:dyDescent="0.55000000000000004">
      <c r="A718" s="30">
        <v>656</v>
      </c>
      <c r="B718" s="6" t="s">
        <v>576</v>
      </c>
      <c r="C718" s="18"/>
      <c r="D718" s="18"/>
      <c r="E718" s="18"/>
      <c r="F718" s="18"/>
      <c r="G718" s="18"/>
      <c r="H718" s="26">
        <f>HYPERLINK("[N&amp;P Old retention.xlsx]'Lake P Results'!AM264", 4000)</f>
        <v>4000</v>
      </c>
      <c r="I718" s="26">
        <f>HYPERLINK("[N&amp;P New retention.xlsx]'Lake P Results'!AM264", 4000)</f>
        <v>4000</v>
      </c>
      <c r="J718" s="26">
        <f>HYPERLINK("[N&amp;P with New retention and Differentiation.xlsx]'Lake P Results'!AM264", 4000)</f>
        <v>4000</v>
      </c>
      <c r="K718" s="18"/>
      <c r="L718" s="18"/>
      <c r="M718" s="27">
        <f>HYPERLINK("[N&amp;P Old retention.xlsx]'Lake P Results'!AC264", 2.78)</f>
        <v>2.78</v>
      </c>
      <c r="N718" s="27">
        <f>HYPERLINK("[N&amp;P New retention.xlsx]'Lake P Results'!AC264", 7.526)</f>
        <v>7.5259999999999998</v>
      </c>
      <c r="O718" s="27">
        <f>HYPERLINK("[N&amp;P with New retention and Differentiation.xlsx]'Lake P Results'!AC264", 2.734)</f>
        <v>2.734</v>
      </c>
      <c r="P718" s="46">
        <f>N718-M718</f>
        <v>4.7460000000000004</v>
      </c>
      <c r="Q718" s="47">
        <f>O718-M718</f>
        <v>-4.5999999999999819E-2</v>
      </c>
      <c r="R718" s="27">
        <f>HYPERLINK("[N&amp;P Old retention.xlsx]'Lake P Results'!Y264", 1.35)</f>
        <v>1.35</v>
      </c>
      <c r="S718" s="27">
        <f>HYPERLINK("[N&amp;P New retention.xlsx]'Lake P Results'!Y264", 24.03)</f>
        <v>24.03</v>
      </c>
      <c r="T718" s="27">
        <f>HYPERLINK("[N&amp;P with New retention and Differentiation.xlsx]'Lake P Results'!Y264", 21.28)</f>
        <v>21.28</v>
      </c>
      <c r="U718" s="46">
        <f>S718-R718</f>
        <v>22.68</v>
      </c>
      <c r="V718" s="46">
        <f>T718-R718</f>
        <v>19.93</v>
      </c>
      <c r="W718" s="27">
        <f>HYPERLINK("[N&amp;P Old retention.xlsx]'Lake P Results'!V264", 12.33)</f>
        <v>12.33</v>
      </c>
      <c r="X718" s="27">
        <f>HYPERLINK("[N&amp;P New retention.xlsx]'Lake P Results'!V264", 12.33)</f>
        <v>12.33</v>
      </c>
      <c r="Y718" s="27">
        <f>HYPERLINK("[N&amp;P with New retention and Differentiation.xlsx]'Lake P Results'!V264", 12.33)</f>
        <v>12.33</v>
      </c>
      <c r="Z718" s="18"/>
      <c r="AA718" s="18"/>
      <c r="AB718" s="27">
        <f>HYPERLINK("[N&amp;P Old retention.xlsx]'Lake P Results'!Z264", 50.09)</f>
        <v>50.09</v>
      </c>
      <c r="AC718" s="27">
        <f>HYPERLINK("[N&amp;P New retention.xlsx]'Lake P Results'!Z264", 22.664)</f>
        <v>22.664000000000001</v>
      </c>
      <c r="AD718" s="27">
        <f>HYPERLINK("[N&amp;P with New retention and Differentiation.xlsx]'Lake P Results'!Z264", 30.206)</f>
        <v>30.206</v>
      </c>
      <c r="AE718" s="47">
        <f>AC718-AB718</f>
        <v>-27.426000000000002</v>
      </c>
      <c r="AF718" s="47">
        <f>AD718-AB718</f>
        <v>-19.884000000000004</v>
      </c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26">
        <f>HYPERLINK("[N&amp;P Old retention.xlsx]'Lake P Results'!AH264", 209.999999999714)</f>
        <v>209.99999999971399</v>
      </c>
      <c r="AR718" s="26">
        <f>HYPERLINK("[N&amp;P New retention.xlsx]'Lake P Results'!AH264", 209.999999999714)</f>
        <v>209.99999999971399</v>
      </c>
      <c r="AS718" s="26">
        <f>HYPERLINK("[N&amp;P with New retention and Differentiation.xlsx]'Lake P Results'!AH264", 209.999999999714)</f>
        <v>209.99999999971399</v>
      </c>
      <c r="AT718" s="18"/>
      <c r="AU718" s="18"/>
      <c r="AV718" s="18"/>
      <c r="AW718" s="18"/>
      <c r="AX718" s="18"/>
      <c r="AY718" s="18"/>
      <c r="AZ718" s="18"/>
      <c r="BA718" s="27">
        <f>HYPERLINK("[N&amp;P Old retention.xlsx]'Lake P Results'!O264", 166.796)</f>
        <v>166.79599999999999</v>
      </c>
      <c r="BB718" s="27">
        <f>HYPERLINK("[N&amp;P New retention.xlsx]'Lake P Results'!O264", 166.796)</f>
        <v>166.79599999999999</v>
      </c>
      <c r="BC718" s="27">
        <f>HYPERLINK("[N&amp;P with New retention and Differentiation.xlsx]'Lake P Results'!O264", 166.796)</f>
        <v>166.79599999999999</v>
      </c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</row>
    <row r="719" spans="1:67" x14ac:dyDescent="0.55000000000000004">
      <c r="A719" s="31">
        <v>658</v>
      </c>
      <c r="B719" s="5" t="s">
        <v>577</v>
      </c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</row>
    <row r="720" spans="1:67" x14ac:dyDescent="0.55000000000000004">
      <c r="A720" s="30">
        <v>659</v>
      </c>
      <c r="B720" s="6" t="s">
        <v>578</v>
      </c>
      <c r="C720" s="18"/>
      <c r="D720" s="18"/>
      <c r="E720" s="18"/>
      <c r="F720" s="18"/>
      <c r="G720" s="18"/>
      <c r="H720" s="26">
        <f>HYPERLINK("[N&amp;P Old retention.xlsx]'Lake P Results'!AM266", 1100)</f>
        <v>1100</v>
      </c>
      <c r="I720" s="26">
        <f>HYPERLINK("[N&amp;P New retention.xlsx]'Lake P Results'!AM266", 1100)</f>
        <v>1100</v>
      </c>
      <c r="J720" s="26">
        <f>HYPERLINK("[N&amp;P with New retention and Differentiation.xlsx]'Lake P Results'!AM266", 1100)</f>
        <v>1100</v>
      </c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26">
        <f>HYPERLINK("[N&amp;P Old retention.xlsx]'Lake P Results'!AH266", 90)</f>
        <v>90</v>
      </c>
      <c r="AR720" s="26">
        <f>HYPERLINK("[N&amp;P New retention.xlsx]'Lake P Results'!AH266", 90)</f>
        <v>90</v>
      </c>
      <c r="AS720" s="26">
        <f>HYPERLINK("[N&amp;P with New retention and Differentiation.xlsx]'Lake P Results'!AH266", 90)</f>
        <v>90</v>
      </c>
      <c r="AT720" s="18"/>
      <c r="AU720" s="18"/>
      <c r="AV720" s="18"/>
      <c r="AW720" s="18"/>
      <c r="AX720" s="18"/>
      <c r="AY720" s="18"/>
      <c r="AZ720" s="18"/>
      <c r="BA720" s="27">
        <f>HYPERLINK("[N&amp;P Old retention.xlsx]'Lake P Results'!O266", 155.71)</f>
        <v>155.71</v>
      </c>
      <c r="BB720" s="27">
        <f>HYPERLINK("[N&amp;P New retention.xlsx]'Lake P Results'!O266", 155.71)</f>
        <v>155.71</v>
      </c>
      <c r="BC720" s="27">
        <f>HYPERLINK("[N&amp;P with New retention and Differentiation.xlsx]'Lake P Results'!O266", 155.71)</f>
        <v>155.71</v>
      </c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</row>
    <row r="721" spans="1:67" x14ac:dyDescent="0.55000000000000004">
      <c r="A721" s="31">
        <v>660</v>
      </c>
      <c r="B721" s="5" t="s">
        <v>579</v>
      </c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</row>
    <row r="722" spans="1:67" x14ac:dyDescent="0.55000000000000004">
      <c r="A722" s="30">
        <v>662</v>
      </c>
      <c r="B722" s="6" t="s">
        <v>580</v>
      </c>
      <c r="C722" s="18"/>
      <c r="D722" s="18"/>
      <c r="E722" s="18"/>
      <c r="F722" s="18"/>
      <c r="G722" s="18"/>
      <c r="H722" s="26">
        <f>HYPERLINK("[N&amp;P Old retention.xlsx]'Lake P Results'!AM268", 200)</f>
        <v>200</v>
      </c>
      <c r="I722" s="26">
        <f>HYPERLINK("[N&amp;P New retention.xlsx]'Lake P Results'!AM268", 200)</f>
        <v>200</v>
      </c>
      <c r="J722" s="26">
        <f>HYPERLINK("[N&amp;P with New retention and Differentiation.xlsx]'Lake P Results'!AM268", 200)</f>
        <v>200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27">
        <f>HYPERLINK("[N&amp;P Old retention.xlsx]'Lake P Results'!R268", 1.03)</f>
        <v>1.03</v>
      </c>
      <c r="BG722" s="27">
        <f>HYPERLINK("[N&amp;P New retention.xlsx]'Lake P Results'!R268", 1.03)</f>
        <v>1.03</v>
      </c>
      <c r="BH722" s="27">
        <f>HYPERLINK("[N&amp;P with New retention and Differentiation.xlsx]'Lake P Results'!R268", 1.03)</f>
        <v>1.03</v>
      </c>
      <c r="BI722" s="18"/>
      <c r="BJ722" s="18"/>
      <c r="BK722" s="18"/>
      <c r="BL722" s="18"/>
      <c r="BM722" s="18"/>
      <c r="BN722" s="18"/>
      <c r="BO722" s="18"/>
    </row>
    <row r="723" spans="1:67" x14ac:dyDescent="0.55000000000000004">
      <c r="A723" s="31">
        <v>666</v>
      </c>
      <c r="B723" s="5" t="s">
        <v>581</v>
      </c>
      <c r="C723" s="29">
        <f>HYPERLINK("[N&amp;P Old retention.xlsx]'Lake P Results'!AE269", 0.07)</f>
        <v>7.0000000000000007E-2</v>
      </c>
      <c r="D723" s="29">
        <f>HYPERLINK("[N&amp;P New retention.xlsx]'Lake P Results'!AE269", 0.07)</f>
        <v>7.0000000000000007E-2</v>
      </c>
      <c r="E723" s="29">
        <f>HYPERLINK("[N&amp;P with New retention and Differentiation.xlsx]'Lake P Results'!AE269", 0.07)</f>
        <v>7.0000000000000007E-2</v>
      </c>
      <c r="F723" s="13"/>
      <c r="G723" s="13"/>
      <c r="H723" s="28">
        <f>HYPERLINK("[N&amp;P Old retention.xlsx]'Lake P Results'!AM269", 2500)</f>
        <v>2500</v>
      </c>
      <c r="I723" s="28">
        <f>HYPERLINK("[N&amp;P New retention.xlsx]'Lake P Results'!AM269", 2500)</f>
        <v>2500</v>
      </c>
      <c r="J723" s="28">
        <f>HYPERLINK("[N&amp;P with New retention and Differentiation.xlsx]'Lake P Results'!AM269", 2500)</f>
        <v>2500</v>
      </c>
      <c r="K723" s="13"/>
      <c r="L723" s="13"/>
      <c r="M723" s="29">
        <f>HYPERLINK("[N&amp;P Old retention.xlsx]'Lake P Results'!AC269", 13.89)</f>
        <v>13.89</v>
      </c>
      <c r="N723" s="29">
        <f>HYPERLINK("[N&amp;P New retention.xlsx]'Lake P Results'!AC269", 12.194)</f>
        <v>12.194000000000001</v>
      </c>
      <c r="O723" s="29">
        <f>HYPERLINK("[N&amp;P with New retention and Differentiation.xlsx]'Lake P Results'!AC269", 8.3)</f>
        <v>8.3000000000000007</v>
      </c>
      <c r="P723" s="47">
        <f>N723-M723</f>
        <v>-1.6959999999999997</v>
      </c>
      <c r="Q723" s="47">
        <f>O723-M723</f>
        <v>-5.59</v>
      </c>
      <c r="R723" s="29">
        <f>HYPERLINK("[N&amp;P Old retention.xlsx]'Lake P Results'!Y269", 5.824)</f>
        <v>5.8239999999999998</v>
      </c>
      <c r="S723" s="29">
        <f>HYPERLINK("[N&amp;P New retention.xlsx]'Lake P Results'!Y269", 7.52)</f>
        <v>7.52</v>
      </c>
      <c r="T723" s="29">
        <f>HYPERLINK("[N&amp;P with New retention and Differentiation.xlsx]'Lake P Results'!Y269", 11.414)</f>
        <v>11.414</v>
      </c>
      <c r="U723" s="46">
        <f>S723-R723</f>
        <v>1.6959999999999997</v>
      </c>
      <c r="V723" s="46">
        <f>T723-R723</f>
        <v>5.59</v>
      </c>
      <c r="W723" s="29">
        <f>HYPERLINK("[N&amp;P Old retention.xlsx]'Lake P Results'!V269", 16.11)</f>
        <v>16.11</v>
      </c>
      <c r="X723" s="29">
        <f>HYPERLINK("[N&amp;P New retention.xlsx]'Lake P Results'!V269", 16.11)</f>
        <v>16.11</v>
      </c>
      <c r="Y723" s="29">
        <f>HYPERLINK("[N&amp;P with New retention and Differentiation.xlsx]'Lake P Results'!V269", 16.11)</f>
        <v>16.11</v>
      </c>
      <c r="Z723" s="13"/>
      <c r="AA723" s="13"/>
      <c r="AB723" s="29">
        <f>HYPERLINK("[N&amp;P Old retention.xlsx]'Lake P Results'!Z269", 2.85)</f>
        <v>2.85</v>
      </c>
      <c r="AC723" s="29">
        <f>HYPERLINK("[N&amp;P New retention.xlsx]'Lake P Results'!Z269", 2.85)</f>
        <v>2.85</v>
      </c>
      <c r="AD723" s="29">
        <f>HYPERLINK("[N&amp;P with New retention and Differentiation.xlsx]'Lake P Results'!Z269", 2.85)</f>
        <v>2.85</v>
      </c>
      <c r="AE723" s="13"/>
      <c r="AF723" s="13"/>
      <c r="AG723" s="29">
        <f>HYPERLINK("[N&amp;P Old retention.xlsx]'Lake P Results'!AA269", 0.848)</f>
        <v>0.84799999999999998</v>
      </c>
      <c r="AH723" s="29">
        <f>HYPERLINK("[N&amp;P New retention.xlsx]'Lake P Results'!AA269", 0.848)</f>
        <v>0.84799999999999998</v>
      </c>
      <c r="AI723" s="29">
        <f>HYPERLINK("[N&amp;P with New retention and Differentiation.xlsx]'Lake P Results'!AA269", 0.848)</f>
        <v>0.84799999999999998</v>
      </c>
      <c r="AJ723" s="13"/>
      <c r="AK723" s="13"/>
      <c r="AL723" s="13"/>
      <c r="AM723" s="13"/>
      <c r="AN723" s="13"/>
      <c r="AO723" s="13"/>
      <c r="AP723" s="13"/>
      <c r="AQ723" s="28">
        <f>HYPERLINK("[N&amp;P Old retention.xlsx]'Lake P Results'!AH269", 90)</f>
        <v>90</v>
      </c>
      <c r="AR723" s="28">
        <f>HYPERLINK("[N&amp;P New retention.xlsx]'Lake P Results'!AH269", 90)</f>
        <v>90</v>
      </c>
      <c r="AS723" s="28">
        <f>HYPERLINK("[N&amp;P with New retention and Differentiation.xlsx]'Lake P Results'!AH269", 90)</f>
        <v>90</v>
      </c>
      <c r="AT723" s="13"/>
      <c r="AU723" s="13"/>
      <c r="AV723" s="13"/>
      <c r="AW723" s="13"/>
      <c r="AX723" s="13"/>
      <c r="AY723" s="13"/>
      <c r="AZ723" s="13"/>
      <c r="BA723" s="29">
        <f>HYPERLINK("[N&amp;P Old retention.xlsx]'Lake P Results'!O269", 104.024)</f>
        <v>104.024</v>
      </c>
      <c r="BB723" s="29">
        <f>HYPERLINK("[N&amp;P New retention.xlsx]'Lake P Results'!O269", 104.024)</f>
        <v>104.024</v>
      </c>
      <c r="BC723" s="29">
        <f>HYPERLINK("[N&amp;P with New retention and Differentiation.xlsx]'Lake P Results'!O269", 104.024)</f>
        <v>104.024</v>
      </c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</row>
    <row r="724" spans="1:67" x14ac:dyDescent="0.55000000000000004">
      <c r="A724" s="30">
        <v>669</v>
      </c>
      <c r="B724" s="6" t="s">
        <v>582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27">
        <f>HYPERLINK("[N&amp;P Old retention.xlsx]'Lake P Results'!R270", 0.22)</f>
        <v>0.22</v>
      </c>
      <c r="BG724" s="27">
        <f>HYPERLINK("[N&amp;P New retention.xlsx]'Lake P Results'!R270", 0.22)</f>
        <v>0.22</v>
      </c>
      <c r="BH724" s="27">
        <f>HYPERLINK("[N&amp;P with New retention and Differentiation.xlsx]'Lake P Results'!R270", 0.22)</f>
        <v>0.22</v>
      </c>
      <c r="BI724" s="18"/>
      <c r="BJ724" s="18"/>
      <c r="BK724" s="18"/>
      <c r="BL724" s="18"/>
      <c r="BM724" s="18"/>
      <c r="BN724" s="18"/>
      <c r="BO724" s="18"/>
    </row>
    <row r="725" spans="1:67" x14ac:dyDescent="0.55000000000000004">
      <c r="A725" s="31">
        <v>673</v>
      </c>
      <c r="B725" s="5" t="s">
        <v>583</v>
      </c>
      <c r="C725" s="13"/>
      <c r="D725" s="13"/>
      <c r="E725" s="13"/>
      <c r="F725" s="13"/>
      <c r="G725" s="13"/>
      <c r="H725" s="28">
        <f>HYPERLINK("[N&amp;P Old retention.xlsx]'Lake P Results'!AM271", 1600)</f>
        <v>1600</v>
      </c>
      <c r="I725" s="28">
        <f>HYPERLINK("[N&amp;P New retention.xlsx]'Lake P Results'!AM271", 1600)</f>
        <v>1600</v>
      </c>
      <c r="J725" s="28">
        <f>HYPERLINK("[N&amp;P with New retention and Differentiation.xlsx]'Lake P Results'!AM271", 1600)</f>
        <v>1600</v>
      </c>
      <c r="K725" s="13"/>
      <c r="L725" s="13"/>
      <c r="M725" s="13"/>
      <c r="N725" s="13"/>
      <c r="O725" s="13"/>
      <c r="P725" s="13"/>
      <c r="Q725" s="13"/>
      <c r="R725" s="29">
        <f>HYPERLINK("[N&amp;P Old retention.xlsx]'Lake P Results'!Y271", 0.66)</f>
        <v>0.66</v>
      </c>
      <c r="S725" s="29">
        <f>HYPERLINK("[N&amp;P New retention.xlsx]'Lake P Results'!Y271", 0.66)</f>
        <v>0.66</v>
      </c>
      <c r="T725" s="29">
        <f>HYPERLINK("[N&amp;P with New retention and Differentiation.xlsx]'Lake P Results'!Y271", 0.66)</f>
        <v>0.66</v>
      </c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28">
        <f>HYPERLINK("[N&amp;P Old retention.xlsx]'Lake P Results'!AH271", 190)</f>
        <v>190</v>
      </c>
      <c r="AR725" s="28">
        <f>HYPERLINK("[N&amp;P New retention.xlsx]'Lake P Results'!AH271", 190)</f>
        <v>190</v>
      </c>
      <c r="AS725" s="28">
        <f>HYPERLINK("[N&amp;P with New retention and Differentiation.xlsx]'Lake P Results'!AH271", 190)</f>
        <v>190</v>
      </c>
      <c r="AT725" s="13"/>
      <c r="AU725" s="13"/>
      <c r="AV725" s="13"/>
      <c r="AW725" s="13"/>
      <c r="AX725" s="13"/>
      <c r="AY725" s="13"/>
      <c r="AZ725" s="13"/>
      <c r="BA725" s="29">
        <f>HYPERLINK("[N&amp;P Old retention.xlsx]'Lake P Results'!O271", 213.862)</f>
        <v>213.86199999999999</v>
      </c>
      <c r="BB725" s="29">
        <f>HYPERLINK("[N&amp;P New retention.xlsx]'Lake P Results'!O271", 213.862)</f>
        <v>213.86199999999999</v>
      </c>
      <c r="BC725" s="29">
        <f>HYPERLINK("[N&amp;P with New retention and Differentiation.xlsx]'Lake P Results'!O271", 213.862)</f>
        <v>213.86199999999999</v>
      </c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</row>
    <row r="726" spans="1:67" x14ac:dyDescent="0.55000000000000004">
      <c r="A726" s="30">
        <v>674</v>
      </c>
      <c r="B726" s="6" t="s">
        <v>584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27">
        <f>HYPERLINK("[N&amp;P New retention.xlsx]'Lake P Results'!AC272", 14.54)</f>
        <v>14.54</v>
      </c>
      <c r="O726" s="18"/>
      <c r="P726" s="46">
        <f>N726-M726</f>
        <v>14.54</v>
      </c>
      <c r="Q726" s="18"/>
      <c r="R726" s="27">
        <f>HYPERLINK("[N&amp;P Old retention.xlsx]'Lake P Results'!Y272", 30.556)</f>
        <v>30.556000000000001</v>
      </c>
      <c r="S726" s="27">
        <f>HYPERLINK("[N&amp;P New retention.xlsx]'Lake P Results'!Y272", 16.016)</f>
        <v>16.015999999999998</v>
      </c>
      <c r="T726" s="27">
        <f>HYPERLINK("[N&amp;P with New retention and Differentiation.xlsx]'Lake P Results'!Y272", 21.44)</f>
        <v>21.44</v>
      </c>
      <c r="U726" s="47">
        <f>S726-R726</f>
        <v>-14.540000000000003</v>
      </c>
      <c r="V726" s="47">
        <f>T726-R726</f>
        <v>-9.1159999999999997</v>
      </c>
      <c r="W726" s="18"/>
      <c r="X726" s="18"/>
      <c r="Y726" s="18"/>
      <c r="Z726" s="18"/>
      <c r="AA726" s="18"/>
      <c r="AB726" s="18"/>
      <c r="AC726" s="18"/>
      <c r="AD726" s="27">
        <f>HYPERLINK("[N&amp;P with New retention and Differentiation.xlsx]'Lake P Results'!Z272", 9.116)</f>
        <v>9.1159999999999997</v>
      </c>
      <c r="AE726" s="18"/>
      <c r="AF726" s="46">
        <f>AD726-AB726</f>
        <v>9.1159999999999997</v>
      </c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26">
        <f>HYPERLINK("[N&amp;P Old retention.xlsx]'Lake P Results'!AH272", 90)</f>
        <v>90</v>
      </c>
      <c r="AR726" s="26">
        <f>HYPERLINK("[N&amp;P New retention.xlsx]'Lake P Results'!AH272", 90)</f>
        <v>90</v>
      </c>
      <c r="AS726" s="26">
        <f>HYPERLINK("[N&amp;P with New retention and Differentiation.xlsx]'Lake P Results'!AH272", 90)</f>
        <v>90</v>
      </c>
      <c r="AT726" s="18"/>
      <c r="AU726" s="18"/>
      <c r="AV726" s="18"/>
      <c r="AW726" s="18"/>
      <c r="AX726" s="18"/>
      <c r="AY726" s="18"/>
      <c r="AZ726" s="18"/>
      <c r="BA726" s="27">
        <f>HYPERLINK("[N&amp;P Old retention.xlsx]'Lake P Results'!O272", 64.698)</f>
        <v>64.697999999999993</v>
      </c>
      <c r="BB726" s="27">
        <f>HYPERLINK("[N&amp;P New retention.xlsx]'Lake P Results'!O272", 64.698)</f>
        <v>64.697999999999993</v>
      </c>
      <c r="BC726" s="27">
        <f>HYPERLINK("[N&amp;P with New retention and Differentiation.xlsx]'Lake P Results'!O272", 64.698)</f>
        <v>64.697999999999993</v>
      </c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</row>
    <row r="727" spans="1:67" x14ac:dyDescent="0.55000000000000004">
      <c r="A727" s="31">
        <v>675</v>
      </c>
      <c r="B727" s="5" t="s">
        <v>585</v>
      </c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</row>
    <row r="728" spans="1:67" x14ac:dyDescent="0.55000000000000004">
      <c r="A728" s="30">
        <v>676</v>
      </c>
      <c r="B728" s="6" t="s">
        <v>586</v>
      </c>
      <c r="C728" s="18"/>
      <c r="D728" s="18"/>
      <c r="E728" s="18"/>
      <c r="F728" s="18"/>
      <c r="G728" s="18"/>
      <c r="H728" s="26">
        <f>HYPERLINK("[N&amp;P Old retention.xlsx]'Lake P Results'!AM274", 1500)</f>
        <v>1500</v>
      </c>
      <c r="I728" s="26">
        <f>HYPERLINK("[N&amp;P New retention.xlsx]'Lake P Results'!AM274", 1700)</f>
        <v>1700</v>
      </c>
      <c r="J728" s="26">
        <f>HYPERLINK("[N&amp;P with New retention and Differentiation.xlsx]'Lake P Results'!AM274", 1600)</f>
        <v>1600</v>
      </c>
      <c r="K728" s="16">
        <f>I728-H728</f>
        <v>200</v>
      </c>
      <c r="L728" s="16">
        <f>J728-H728</f>
        <v>100</v>
      </c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27">
        <f>HYPERLINK("[N&amp;P Old retention.xlsx]'Lake P Results'!AA274", 1.27)</f>
        <v>1.27</v>
      </c>
      <c r="AH728" s="18"/>
      <c r="AI728" s="18"/>
      <c r="AJ728" s="47">
        <f>AH728-AG728</f>
        <v>-1.27</v>
      </c>
      <c r="AK728" s="47">
        <f>AI728-AG728</f>
        <v>-1.27</v>
      </c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27">
        <f>HYPERLINK("[N&amp;P Old retention.xlsx]'Lake P Results'!O274", 0.89)</f>
        <v>0.89</v>
      </c>
      <c r="BB728" s="27">
        <f>HYPERLINK("[N&amp;P New retention.xlsx]'Lake P Results'!O274", 36.77)</f>
        <v>36.770000000000003</v>
      </c>
      <c r="BC728" s="27">
        <f>HYPERLINK("[N&amp;P with New retention and Differentiation.xlsx]'Lake P Results'!O274", 47.01)</f>
        <v>47.01</v>
      </c>
      <c r="BD728" s="46">
        <f>BB728-BA728</f>
        <v>35.880000000000003</v>
      </c>
      <c r="BE728" s="46">
        <f>BC728-BA728</f>
        <v>46.12</v>
      </c>
      <c r="BF728" s="27">
        <f>HYPERLINK("[N&amp;P Old retention.xlsx]'Lake P Results'!R274", 1.56)</f>
        <v>1.56</v>
      </c>
      <c r="BG728" s="27">
        <f>HYPERLINK("[N&amp;P New retention.xlsx]'Lake P Results'!R274", 1.56)</f>
        <v>1.56</v>
      </c>
      <c r="BH728" s="27">
        <f>HYPERLINK("[N&amp;P with New retention and Differentiation.xlsx]'Lake P Results'!R274", 1.56)</f>
        <v>1.56</v>
      </c>
      <c r="BI728" s="18"/>
      <c r="BJ728" s="18"/>
      <c r="BK728" s="27">
        <f>HYPERLINK("[N&amp;P Old retention.xlsx]'Lake P Results'!Q274", 0.2)</f>
        <v>0.2</v>
      </c>
      <c r="BL728" s="27">
        <f>HYPERLINK("[N&amp;P New retention.xlsx]'Lake P Results'!Q274", 1.41)</f>
        <v>1.41</v>
      </c>
      <c r="BM728" s="27">
        <f>HYPERLINK("[N&amp;P with New retention and Differentiation.xlsx]'Lake P Results'!Q274", 1.16)</f>
        <v>1.1599999999999999</v>
      </c>
      <c r="BN728" s="46">
        <f>BL728-BK728</f>
        <v>1.21</v>
      </c>
      <c r="BO728" s="46">
        <f>BM728-BK728</f>
        <v>0.96</v>
      </c>
    </row>
    <row r="729" spans="1:67" x14ac:dyDescent="0.55000000000000004">
      <c r="A729" s="31">
        <v>682</v>
      </c>
      <c r="B729" s="5" t="s">
        <v>587</v>
      </c>
      <c r="C729" s="29">
        <f>HYPERLINK("[N&amp;P Old retention.xlsx]'Lake P Results'!AE275", 0.02)</f>
        <v>0.02</v>
      </c>
      <c r="D729" s="13"/>
      <c r="E729" s="13"/>
      <c r="F729" s="47">
        <f>D729-C729</f>
        <v>-0.02</v>
      </c>
      <c r="G729" s="47">
        <f>E729-C729</f>
        <v>-0.02</v>
      </c>
      <c r="H729" s="28">
        <f>HYPERLINK("[N&amp;P Old retention.xlsx]'Lake P Results'!AM275", 42700)</f>
        <v>42700</v>
      </c>
      <c r="I729" s="28">
        <f>HYPERLINK("[N&amp;P New retention.xlsx]'Lake P Results'!AM275", 44600)</f>
        <v>44600</v>
      </c>
      <c r="J729" s="28">
        <f>HYPERLINK("[N&amp;P with New retention and Differentiation.xlsx]'Lake P Results'!AM275", 43800)</f>
        <v>43800</v>
      </c>
      <c r="K729" s="16">
        <f>I729-H729</f>
        <v>1900</v>
      </c>
      <c r="L729" s="16">
        <f>J729-H729</f>
        <v>1100</v>
      </c>
      <c r="M729" s="29">
        <f>HYPERLINK("[N&amp;P Old retention.xlsx]'Lake P Results'!AC275", 0.908)</f>
        <v>0.90800000000000003</v>
      </c>
      <c r="N729" s="29">
        <f>HYPERLINK("[N&amp;P New retention.xlsx]'Lake P Results'!AC275", 0.966)</f>
        <v>0.96599999999999997</v>
      </c>
      <c r="O729" s="29">
        <f>HYPERLINK("[N&amp;P with New retention and Differentiation.xlsx]'Lake P Results'!AC275", 0.966)</f>
        <v>0.96599999999999997</v>
      </c>
      <c r="P729" s="46">
        <f>N729-M729</f>
        <v>5.799999999999994E-2</v>
      </c>
      <c r="Q729" s="46">
        <f>O729-M729</f>
        <v>5.799999999999994E-2</v>
      </c>
      <c r="R729" s="13"/>
      <c r="S729" s="29">
        <f>HYPERLINK("[N&amp;P New retention.xlsx]'Lake P Results'!Y275", 0.582)</f>
        <v>0.58199999999999996</v>
      </c>
      <c r="T729" s="29">
        <f>HYPERLINK("[N&amp;P with New retention and Differentiation.xlsx]'Lake P Results'!Y275", 0.582)</f>
        <v>0.58199999999999996</v>
      </c>
      <c r="U729" s="46">
        <f>S729-R729</f>
        <v>0.58199999999999996</v>
      </c>
      <c r="V729" s="46">
        <f>T729-R729</f>
        <v>0.58199999999999996</v>
      </c>
      <c r="W729" s="13"/>
      <c r="X729" s="13"/>
      <c r="Y729" s="13"/>
      <c r="Z729" s="13"/>
      <c r="AA729" s="13"/>
      <c r="AB729" s="29">
        <f>HYPERLINK("[N&amp;P Old retention.xlsx]'Lake P Results'!Z275", 1.19)</f>
        <v>1.19</v>
      </c>
      <c r="AC729" s="29">
        <f>HYPERLINK("[N&amp;P New retention.xlsx]'Lake P Results'!Z275", 0.86)</f>
        <v>0.86</v>
      </c>
      <c r="AD729" s="29">
        <f>HYPERLINK("[N&amp;P with New retention and Differentiation.xlsx]'Lake P Results'!Z275", 0.86)</f>
        <v>0.86</v>
      </c>
      <c r="AE729" s="47">
        <f>AC729-AB729</f>
        <v>-0.32999999999999996</v>
      </c>
      <c r="AF729" s="47">
        <f>AD729-AB729</f>
        <v>-0.32999999999999996</v>
      </c>
      <c r="AG729" s="29">
        <f>HYPERLINK("[N&amp;P Old retention.xlsx]'Lake P Results'!AA275", 7.064)</f>
        <v>7.0640000000000001</v>
      </c>
      <c r="AH729" s="29">
        <f>HYPERLINK("[N&amp;P New retention.xlsx]'Lake P Results'!AA275", 4.666)</f>
        <v>4.6660000000000004</v>
      </c>
      <c r="AI729" s="29">
        <f>HYPERLINK("[N&amp;P with New retention and Differentiation.xlsx]'Lake P Results'!AA275", 4.666)</f>
        <v>4.6660000000000004</v>
      </c>
      <c r="AJ729" s="47">
        <f>AH729-AG729</f>
        <v>-2.3979999999999997</v>
      </c>
      <c r="AK729" s="47">
        <f>AI729-AG729</f>
        <v>-2.3979999999999997</v>
      </c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29">
        <f>HYPERLINK("[N&amp;P Old retention.xlsx]'Lake P Results'!M275", 126.526)</f>
        <v>126.526</v>
      </c>
      <c r="AW729" s="29">
        <f>HYPERLINK("[N&amp;P New retention.xlsx]'Lake P Results'!M275", 293.658)</f>
        <v>293.65800000000002</v>
      </c>
      <c r="AX729" s="13"/>
      <c r="AY729" s="46">
        <f>AW729-AV729</f>
        <v>167.13200000000001</v>
      </c>
      <c r="AZ729" s="47">
        <f>AX729-AV729</f>
        <v>-126.526</v>
      </c>
      <c r="BA729" s="29">
        <f>HYPERLINK("[N&amp;P Old retention.xlsx]'Lake P Results'!O275", 291.352)</f>
        <v>291.35199999999998</v>
      </c>
      <c r="BB729" s="29">
        <f>HYPERLINK("[N&amp;P New retention.xlsx]'Lake P Results'!O275", 622.302)</f>
        <v>622.30200000000002</v>
      </c>
      <c r="BC729" s="29">
        <f>HYPERLINK("[N&amp;P with New retention and Differentiation.xlsx]'Lake P Results'!O275", 1061.034)</f>
        <v>1061.0340000000001</v>
      </c>
      <c r="BD729" s="46">
        <f>BB729-BA729</f>
        <v>330.95000000000005</v>
      </c>
      <c r="BE729" s="46">
        <f>BC729-BA729</f>
        <v>769.68200000000013</v>
      </c>
      <c r="BF729" s="29">
        <f>HYPERLINK("[N&amp;P Old retention.xlsx]'Lake P Results'!R275", 564.944)</f>
        <v>564.94399999999996</v>
      </c>
      <c r="BG729" s="29">
        <f>HYPERLINK("[N&amp;P New retention.xlsx]'Lake P Results'!R275", 565.676)</f>
        <v>565.67600000000004</v>
      </c>
      <c r="BH729" s="29">
        <f>HYPERLINK("[N&amp;P with New retention and Differentiation.xlsx]'Lake P Results'!R275", 565.868)</f>
        <v>565.86800000000005</v>
      </c>
      <c r="BI729" s="46">
        <f>BG729-BF729</f>
        <v>0.73200000000008458</v>
      </c>
      <c r="BJ729" s="46">
        <f>BH729-BF729</f>
        <v>0.92400000000009186</v>
      </c>
      <c r="BK729" s="29">
        <f>HYPERLINK("[N&amp;P Old retention.xlsx]'Lake P Results'!Q275", 35.216)</f>
        <v>35.216000000000001</v>
      </c>
      <c r="BL729" s="29">
        <f>HYPERLINK("[N&amp;P New retention.xlsx]'Lake P Results'!Q275", 27)</f>
        <v>27</v>
      </c>
      <c r="BM729" s="29">
        <f>HYPERLINK("[N&amp;P with New retention and Differentiation.xlsx]'Lake P Results'!Q275", 24.782)</f>
        <v>24.782</v>
      </c>
      <c r="BN729" s="47">
        <f>BL729-BK729</f>
        <v>-8.2160000000000011</v>
      </c>
      <c r="BO729" s="47">
        <f>BM729-BK729</f>
        <v>-10.434000000000001</v>
      </c>
    </row>
    <row r="730" spans="1:67" x14ac:dyDescent="0.55000000000000004">
      <c r="A730" s="30">
        <v>683</v>
      </c>
      <c r="B730" s="6" t="s">
        <v>588</v>
      </c>
      <c r="C730" s="27">
        <f>HYPERLINK("[N&amp;P Old retention.xlsx]'Lake P Results'!AE276", 25.296)</f>
        <v>25.295999999999999</v>
      </c>
      <c r="D730" s="27">
        <f>HYPERLINK("[N&amp;P New retention.xlsx]'Lake P Results'!AE276", 25.296)</f>
        <v>25.295999999999999</v>
      </c>
      <c r="E730" s="27">
        <f>HYPERLINK("[N&amp;P with New retention and Differentiation.xlsx]'Lake P Results'!AE276", 25.296)</f>
        <v>25.295999999999999</v>
      </c>
      <c r="F730" s="18"/>
      <c r="G730" s="18"/>
      <c r="H730" s="26">
        <f>HYPERLINK("[N&amp;P Old retention.xlsx]'Lake P Results'!AM276", 59600)</f>
        <v>59600</v>
      </c>
      <c r="I730" s="26">
        <f>HYPERLINK("[N&amp;P New retention.xlsx]'Lake P Results'!AM276", 59600)</f>
        <v>59600</v>
      </c>
      <c r="J730" s="26">
        <f>HYPERLINK("[N&amp;P with New retention and Differentiation.xlsx]'Lake P Results'!AM276", 59600)</f>
        <v>59600</v>
      </c>
      <c r="K730" s="18"/>
      <c r="L730" s="18"/>
      <c r="M730" s="27">
        <f>HYPERLINK("[N&amp;P Old retention.xlsx]'Lake P Results'!AC276", 4.298)</f>
        <v>4.298</v>
      </c>
      <c r="N730" s="27">
        <f>HYPERLINK("[N&amp;P New retention.xlsx]'Lake P Results'!AC276", 9.498)</f>
        <v>9.4979999999999993</v>
      </c>
      <c r="O730" s="27">
        <f>HYPERLINK("[N&amp;P with New retention and Differentiation.xlsx]'Lake P Results'!AC276", 4.938)</f>
        <v>4.9379999999999997</v>
      </c>
      <c r="P730" s="46">
        <f>N730-M730</f>
        <v>5.1999999999999993</v>
      </c>
      <c r="Q730" s="46">
        <f>O730-M730</f>
        <v>0.63999999999999968</v>
      </c>
      <c r="R730" s="27">
        <f>HYPERLINK("[N&amp;P Old retention.xlsx]'Lake P Results'!Y276", 127.756)</f>
        <v>127.756</v>
      </c>
      <c r="S730" s="27">
        <f>HYPERLINK("[N&amp;P New retention.xlsx]'Lake P Results'!Y276", 125.626)</f>
        <v>125.626</v>
      </c>
      <c r="T730" s="27">
        <f>HYPERLINK("[N&amp;P with New retention and Differentiation.xlsx]'Lake P Results'!Y276", 127.756)</f>
        <v>127.756</v>
      </c>
      <c r="U730" s="47">
        <f>S730-R730</f>
        <v>-2.1299999999999955</v>
      </c>
      <c r="V730" s="18"/>
      <c r="W730" s="27">
        <f>HYPERLINK("[N&amp;P Old retention.xlsx]'Lake P Results'!V276", 88.098)</f>
        <v>88.097999999999999</v>
      </c>
      <c r="X730" s="27">
        <f>HYPERLINK("[N&amp;P New retention.xlsx]'Lake P Results'!V276", 88.098)</f>
        <v>88.097999999999999</v>
      </c>
      <c r="Y730" s="27">
        <f>HYPERLINK("[N&amp;P with New retention and Differentiation.xlsx]'Lake P Results'!V276", 88.098)</f>
        <v>88.097999999999999</v>
      </c>
      <c r="Z730" s="18"/>
      <c r="AA730" s="18"/>
      <c r="AB730" s="27">
        <f>HYPERLINK("[N&amp;P Old retention.xlsx]'Lake P Results'!Z276", 7.888)</f>
        <v>7.8879999999999999</v>
      </c>
      <c r="AC730" s="27">
        <f>HYPERLINK("[N&amp;P New retention.xlsx]'Lake P Results'!Z276", 4.818)</f>
        <v>4.8179999999999996</v>
      </c>
      <c r="AD730" s="27">
        <f>HYPERLINK("[N&amp;P with New retention and Differentiation.xlsx]'Lake P Results'!Z276", 7.248)</f>
        <v>7.2480000000000002</v>
      </c>
      <c r="AE730" s="47">
        <f>AC730-AB730</f>
        <v>-3.0700000000000003</v>
      </c>
      <c r="AF730" s="47">
        <f>AD730-AB730</f>
        <v>-0.63999999999999968</v>
      </c>
      <c r="AG730" s="27">
        <f>HYPERLINK("[N&amp;P Old retention.xlsx]'Lake P Results'!AA276", 0.59)</f>
        <v>0.59</v>
      </c>
      <c r="AH730" s="27">
        <f>HYPERLINK("[N&amp;P New retention.xlsx]'Lake P Results'!AA276", 0.59)</f>
        <v>0.59</v>
      </c>
      <c r="AI730" s="27">
        <f>HYPERLINK("[N&amp;P with New retention and Differentiation.xlsx]'Lake P Results'!AA276", 0.59)</f>
        <v>0.59</v>
      </c>
      <c r="AJ730" s="18"/>
      <c r="AK730" s="18"/>
      <c r="AL730" s="27">
        <f>HYPERLINK("[N&amp;P Old retention.xlsx]'Lake P Results'!AF276", 0.08)</f>
        <v>0.08</v>
      </c>
      <c r="AM730" s="27">
        <f>HYPERLINK("[N&amp;P New retention.xlsx]'Lake P Results'!AF276", 0.08)</f>
        <v>0.08</v>
      </c>
      <c r="AN730" s="27">
        <f>HYPERLINK("[N&amp;P with New retention and Differentiation.xlsx]'Lake P Results'!AF276", 0.08)</f>
        <v>0.08</v>
      </c>
      <c r="AO730" s="18"/>
      <c r="AP730" s="18"/>
      <c r="AQ730" s="26">
        <f>HYPERLINK("[N&amp;P Old retention.xlsx]'Lake P Results'!AH276", 1259.9999999997)</f>
        <v>1259.9999999997001</v>
      </c>
      <c r="AR730" s="26">
        <f>HYPERLINK("[N&amp;P New retention.xlsx]'Lake P Results'!AH276", 1259.99999999993)</f>
        <v>1259.99999999993</v>
      </c>
      <c r="AS730" s="26">
        <f>HYPERLINK("[N&amp;P with New retention and Differentiation.xlsx]'Lake P Results'!AH276", 1259.99999999993)</f>
        <v>1259.99999999993</v>
      </c>
      <c r="AT730" s="16">
        <f>AR730-AQ730</f>
        <v>2.2987478587310761E-10</v>
      </c>
      <c r="AU730" s="16">
        <f>AS730-AQ730</f>
        <v>2.2987478587310761E-10</v>
      </c>
      <c r="AV730" s="27">
        <f>HYPERLINK("[N&amp;P Old retention.xlsx]'Lake P Results'!M276", 377.85)</f>
        <v>377.85</v>
      </c>
      <c r="AW730" s="27">
        <f>HYPERLINK("[N&amp;P New retention.xlsx]'Lake P Results'!M276", 619.772)</f>
        <v>619.77200000000005</v>
      </c>
      <c r="AX730" s="18"/>
      <c r="AY730" s="46">
        <f>AW730-AV730</f>
        <v>241.92200000000003</v>
      </c>
      <c r="AZ730" s="47">
        <f>AX730-AV730</f>
        <v>-377.85</v>
      </c>
      <c r="BA730" s="27">
        <f>HYPERLINK("[N&amp;P Old retention.xlsx]'Lake P Results'!O276", 410.688)</f>
        <v>410.68799999999999</v>
      </c>
      <c r="BB730" s="27">
        <f>HYPERLINK("[N&amp;P New retention.xlsx]'Lake P Results'!O276", 168.766)</f>
        <v>168.76599999999999</v>
      </c>
      <c r="BC730" s="27">
        <f>HYPERLINK("[N&amp;P with New retention and Differentiation.xlsx]'Lake P Results'!O276", 788.538)</f>
        <v>788.53800000000001</v>
      </c>
      <c r="BD730" s="47">
        <f>BB730-BA730</f>
        <v>-241.922</v>
      </c>
      <c r="BE730" s="46">
        <f>BC730-BA730</f>
        <v>377.85</v>
      </c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</row>
    <row r="731" spans="1:67" x14ac:dyDescent="0.55000000000000004">
      <c r="A731" s="31">
        <v>684</v>
      </c>
      <c r="B731" s="5" t="s">
        <v>589</v>
      </c>
      <c r="C731" s="29">
        <f>HYPERLINK("[N&amp;P Old retention.xlsx]'Lake P Results'!AE277", 17.496)</f>
        <v>17.495999999999999</v>
      </c>
      <c r="D731" s="29">
        <f>HYPERLINK("[N&amp;P New retention.xlsx]'Lake P Results'!AE277", 17.496)</f>
        <v>17.495999999999999</v>
      </c>
      <c r="E731" s="29">
        <f>HYPERLINK("[N&amp;P with New retention and Differentiation.xlsx]'Lake P Results'!AE277", 17.496)</f>
        <v>17.495999999999999</v>
      </c>
      <c r="F731" s="13"/>
      <c r="G731" s="13"/>
      <c r="H731" s="28">
        <f>HYPERLINK("[N&amp;P Old retention.xlsx]'Lake P Results'!AM277", 59400)</f>
        <v>59400</v>
      </c>
      <c r="I731" s="28">
        <f>HYPERLINK("[N&amp;P New retention.xlsx]'Lake P Results'!AM277", 59400)</f>
        <v>59400</v>
      </c>
      <c r="J731" s="28">
        <f>HYPERLINK("[N&amp;P with New retention and Differentiation.xlsx]'Lake P Results'!AM277", 59400)</f>
        <v>59400</v>
      </c>
      <c r="K731" s="13"/>
      <c r="L731" s="13"/>
      <c r="M731" s="29">
        <f>HYPERLINK("[N&amp;P Old retention.xlsx]'Lake P Results'!AC277", 112.438)</f>
        <v>112.438</v>
      </c>
      <c r="N731" s="29">
        <f>HYPERLINK("[N&amp;P New retention.xlsx]'Lake P Results'!AC277", 89.182)</f>
        <v>89.182000000000002</v>
      </c>
      <c r="O731" s="29">
        <f>HYPERLINK("[N&amp;P with New retention and Differentiation.xlsx]'Lake P Results'!AC277", 100.646)</f>
        <v>100.646</v>
      </c>
      <c r="P731" s="47">
        <f>N731-M731</f>
        <v>-23.256</v>
      </c>
      <c r="Q731" s="47">
        <f>O731-M731</f>
        <v>-11.792000000000002</v>
      </c>
      <c r="R731" s="29">
        <f>HYPERLINK("[N&amp;P Old retention.xlsx]'Lake P Results'!Y277", 290.126)</f>
        <v>290.12599999999998</v>
      </c>
      <c r="S731" s="29">
        <f>HYPERLINK("[N&amp;P New retention.xlsx]'Lake P Results'!Y277", 299.456)</f>
        <v>299.45600000000002</v>
      </c>
      <c r="T731" s="29">
        <f>HYPERLINK("[N&amp;P with New retention and Differentiation.xlsx]'Lake P Results'!Y277", 273.974)</f>
        <v>273.97399999999999</v>
      </c>
      <c r="U731" s="46">
        <f>S731-R731</f>
        <v>9.3300000000000409</v>
      </c>
      <c r="V731" s="47">
        <f>T731-R731</f>
        <v>-16.151999999999987</v>
      </c>
      <c r="W731" s="29">
        <f>HYPERLINK("[N&amp;P Old retention.xlsx]'Lake P Results'!V277", 240.81)</f>
        <v>240.81</v>
      </c>
      <c r="X731" s="29">
        <f>HYPERLINK("[N&amp;P New retention.xlsx]'Lake P Results'!V277", 240.81)</f>
        <v>240.81</v>
      </c>
      <c r="Y731" s="29">
        <f>HYPERLINK("[N&amp;P with New retention and Differentiation.xlsx]'Lake P Results'!V277", 240.81)</f>
        <v>240.81</v>
      </c>
      <c r="Z731" s="13"/>
      <c r="AA731" s="13"/>
      <c r="AB731" s="29">
        <f>HYPERLINK("[N&amp;P Old retention.xlsx]'Lake P Results'!Z277", 72.992)</f>
        <v>72.992000000000004</v>
      </c>
      <c r="AC731" s="29">
        <f>HYPERLINK("[N&amp;P New retention.xlsx]'Lake P Results'!Z277", 86.888)</f>
        <v>86.888000000000005</v>
      </c>
      <c r="AD731" s="29">
        <f>HYPERLINK("[N&amp;P with New retention and Differentiation.xlsx]'Lake P Results'!Z277", 100.906)</f>
        <v>100.90600000000001</v>
      </c>
      <c r="AE731" s="46">
        <f>AC731-AB731</f>
        <v>13.896000000000001</v>
      </c>
      <c r="AF731" s="46">
        <f>AD731-AB731</f>
        <v>27.914000000000001</v>
      </c>
      <c r="AG731" s="29">
        <f>HYPERLINK("[N&amp;P Old retention.xlsx]'Lake P Results'!AA277", 0.3)</f>
        <v>0.3</v>
      </c>
      <c r="AH731" s="29">
        <f>HYPERLINK("[N&amp;P New retention.xlsx]'Lake P Results'!AA277", 0.3)</f>
        <v>0.3</v>
      </c>
      <c r="AI731" s="29">
        <f>HYPERLINK("[N&amp;P with New retention and Differentiation.xlsx]'Lake P Results'!AA277", 0.3)</f>
        <v>0.3</v>
      </c>
      <c r="AJ731" s="13"/>
      <c r="AK731" s="13"/>
      <c r="AL731" s="29">
        <f>HYPERLINK("[N&amp;P Old retention.xlsx]'Lake P Results'!AF277", 1.122)</f>
        <v>1.1220000000000001</v>
      </c>
      <c r="AM731" s="29">
        <f>HYPERLINK("[N&amp;P New retention.xlsx]'Lake P Results'!AF277", 1.122)</f>
        <v>1.1220000000000001</v>
      </c>
      <c r="AN731" s="29">
        <f>HYPERLINK("[N&amp;P with New retention and Differentiation.xlsx]'Lake P Results'!AF277", 1.122)</f>
        <v>1.1220000000000001</v>
      </c>
      <c r="AO731" s="13"/>
      <c r="AP731" s="13"/>
      <c r="AQ731" s="28">
        <f>HYPERLINK("[N&amp;P Old retention.xlsx]'Lake P Results'!AH277", 2059.99999999115)</f>
        <v>2059.9999999911502</v>
      </c>
      <c r="AR731" s="28">
        <f>HYPERLINK("[N&amp;P New retention.xlsx]'Lake P Results'!AH277", 2059.99999999119)</f>
        <v>2059.9999999911902</v>
      </c>
      <c r="AS731" s="28">
        <f>HYPERLINK("[N&amp;P with New retention and Differentiation.xlsx]'Lake P Results'!AH277", 2059.99999999119)</f>
        <v>2059.9999999911902</v>
      </c>
      <c r="AT731" s="16">
        <f>AR731-AQ731</f>
        <v>4.0017766878008842E-11</v>
      </c>
      <c r="AU731" s="16">
        <f>AS731-AQ731</f>
        <v>4.0017766878008842E-11</v>
      </c>
      <c r="AV731" s="29">
        <f>HYPERLINK("[N&amp;P Old retention.xlsx]'Lake P Results'!M277", 633.55)</f>
        <v>633.54999999999995</v>
      </c>
      <c r="AW731" s="29">
        <f>HYPERLINK("[N&amp;P New retention.xlsx]'Lake P Results'!M277", 1799.918)</f>
        <v>1799.9179999999999</v>
      </c>
      <c r="AX731" s="13"/>
      <c r="AY731" s="46">
        <f>AW731-AV731</f>
        <v>1166.3679999999999</v>
      </c>
      <c r="AZ731" s="47">
        <f>AX731-AV731</f>
        <v>-633.54999999999995</v>
      </c>
      <c r="BA731" s="29">
        <f>HYPERLINK("[N&amp;P Old retention.xlsx]'Lake P Results'!O277", 1525.28)</f>
        <v>1525.28</v>
      </c>
      <c r="BB731" s="29">
        <f>HYPERLINK("[N&amp;P New retention.xlsx]'Lake P Results'!O277", 372.938)</f>
        <v>372.93799999999999</v>
      </c>
      <c r="BC731" s="29">
        <f>HYPERLINK("[N&amp;P with New retention and Differentiation.xlsx]'Lake P Results'!O277", 2172.856)</f>
        <v>2172.8560000000002</v>
      </c>
      <c r="BD731" s="47">
        <f>BB731-BA731</f>
        <v>-1152.3420000000001</v>
      </c>
      <c r="BE731" s="46">
        <f>BC731-BA731</f>
        <v>647.57600000000025</v>
      </c>
      <c r="BF731" s="29">
        <f>HYPERLINK("[N&amp;P Old retention.xlsx]'Lake P Results'!R277", 0.172)</f>
        <v>0.17199999999999999</v>
      </c>
      <c r="BG731" s="29">
        <f>HYPERLINK("[N&amp;P New retention.xlsx]'Lake P Results'!R277", 0.172)</f>
        <v>0.17199999999999999</v>
      </c>
      <c r="BH731" s="29">
        <f>HYPERLINK("[N&amp;P with New retention and Differentiation.xlsx]'Lake P Results'!R277", 0.172)</f>
        <v>0.17199999999999999</v>
      </c>
      <c r="BI731" s="13"/>
      <c r="BJ731" s="13"/>
      <c r="BK731" s="13"/>
      <c r="BL731" s="13"/>
      <c r="BM731" s="13"/>
      <c r="BN731" s="13"/>
      <c r="BO731" s="13"/>
    </row>
    <row r="732" spans="1:67" x14ac:dyDescent="0.55000000000000004">
      <c r="A732" s="30">
        <v>685</v>
      </c>
      <c r="B732" s="6" t="s">
        <v>590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</row>
    <row r="733" spans="1:67" x14ac:dyDescent="0.55000000000000004">
      <c r="A733" s="31">
        <v>687</v>
      </c>
      <c r="B733" s="5" t="s">
        <v>591</v>
      </c>
      <c r="C733" s="29">
        <f>HYPERLINK("[N&amp;P Old retention.xlsx]'Lake P Results'!AE279", 0.879999999999999)</f>
        <v>0.87999999999999901</v>
      </c>
      <c r="D733" s="29">
        <f>HYPERLINK("[N&amp;P New retention.xlsx]'Lake P Results'!AE279", 0.879999999999999)</f>
        <v>0.87999999999999901</v>
      </c>
      <c r="E733" s="29">
        <f>HYPERLINK("[N&amp;P with New retention and Differentiation.xlsx]'Lake P Results'!AE279", 0.879999999999999)</f>
        <v>0.87999999999999901</v>
      </c>
      <c r="F733" s="13"/>
      <c r="G733" s="13"/>
      <c r="H733" s="28">
        <f>HYPERLINK("[N&amp;P Old retention.xlsx]'Lake P Results'!AM279", 1700)</f>
        <v>1700</v>
      </c>
      <c r="I733" s="28">
        <f>HYPERLINK("[N&amp;P New retention.xlsx]'Lake P Results'!AM279", 1700)</f>
        <v>1700</v>
      </c>
      <c r="J733" s="28">
        <f>HYPERLINK("[N&amp;P with New retention and Differentiation.xlsx]'Lake P Results'!AM279", 1700)</f>
        <v>1700</v>
      </c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29">
        <f>HYPERLINK("[N&amp;P Old retention.xlsx]'Lake P Results'!M279", 11.06)</f>
        <v>11.06</v>
      </c>
      <c r="AW733" s="29">
        <f>HYPERLINK("[N&amp;P New retention.xlsx]'Lake P Results'!M279", 11.06)</f>
        <v>11.06</v>
      </c>
      <c r="AX733" s="13"/>
      <c r="AY733" s="13"/>
      <c r="AZ733" s="47">
        <f>AX733-AV733</f>
        <v>-11.06</v>
      </c>
      <c r="BA733" s="13"/>
      <c r="BB733" s="13"/>
      <c r="BC733" s="29">
        <f>HYPERLINK("[N&amp;P with New retention and Differentiation.xlsx]'Lake P Results'!O279", 11.06)</f>
        <v>11.06</v>
      </c>
      <c r="BD733" s="13"/>
      <c r="BE733" s="46">
        <f>BC733-BA733</f>
        <v>11.06</v>
      </c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</row>
    <row r="734" spans="1:67" x14ac:dyDescent="0.55000000000000004">
      <c r="A734" s="30">
        <v>688</v>
      </c>
      <c r="B734" s="6" t="s">
        <v>592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27">
        <f>HYPERLINK("[N&amp;P Old retention.xlsx]'Lake P Results'!O280", 0.312)</f>
        <v>0.312</v>
      </c>
      <c r="BB734" s="18"/>
      <c r="BC734" s="18"/>
      <c r="BD734" s="47">
        <f>BB734-BA734</f>
        <v>-0.312</v>
      </c>
      <c r="BE734" s="47">
        <f>BC734-BA734</f>
        <v>-0.312</v>
      </c>
      <c r="BF734" s="18"/>
      <c r="BG734" s="27">
        <f>HYPERLINK("[N&amp;P New retention.xlsx]'Lake P Results'!R280", 0.0799999999999999)</f>
        <v>7.9999999999999905E-2</v>
      </c>
      <c r="BH734" s="27">
        <f>HYPERLINK("[N&amp;P with New retention and Differentiation.xlsx]'Lake P Results'!R280", 0.0799999999999999)</f>
        <v>7.9999999999999905E-2</v>
      </c>
      <c r="BI734" s="46">
        <f>BG734-BF734</f>
        <v>7.9999999999999905E-2</v>
      </c>
      <c r="BJ734" s="46">
        <f>BH734-BF734</f>
        <v>7.9999999999999905E-2</v>
      </c>
      <c r="BK734" s="18"/>
      <c r="BL734" s="18"/>
      <c r="BM734" s="18"/>
      <c r="BN734" s="18"/>
      <c r="BO734" s="18"/>
    </row>
    <row r="735" spans="1:67" x14ac:dyDescent="0.55000000000000004">
      <c r="A735" s="31">
        <v>695</v>
      </c>
      <c r="B735" s="5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29">
        <f>HYPERLINK("[N&amp;P Old retention.xlsx]'Lake P Results'!M281", 2.11)</f>
        <v>2.11</v>
      </c>
      <c r="AW735" s="13"/>
      <c r="AX735" s="13"/>
      <c r="AY735" s="47">
        <f>AW735-AV735</f>
        <v>-2.11</v>
      </c>
      <c r="AZ735" s="47">
        <f>AX735-AV735</f>
        <v>-2.11</v>
      </c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</row>
    <row r="736" spans="1:67" x14ac:dyDescent="0.55000000000000004">
      <c r="A736" s="30">
        <v>696</v>
      </c>
      <c r="B736" s="6" t="s">
        <v>593</v>
      </c>
      <c r="C736" s="18"/>
      <c r="D736" s="18"/>
      <c r="E736" s="18"/>
      <c r="F736" s="18"/>
      <c r="G736" s="18"/>
      <c r="H736" s="26">
        <f>HYPERLINK("[N&amp;P Old retention.xlsx]'Lake P Results'!AM282", 5100)</f>
        <v>5100</v>
      </c>
      <c r="I736" s="26">
        <f>HYPERLINK("[N&amp;P New retention.xlsx]'Lake P Results'!AM282", 5100)</f>
        <v>5100</v>
      </c>
      <c r="J736" s="26">
        <f>HYPERLINK("[N&amp;P with New retention and Differentiation.xlsx]'Lake P Results'!AM282", 5100)</f>
        <v>5100</v>
      </c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26">
        <f>HYPERLINK("[N&amp;P Old retention.xlsx]'Lake P Results'!AH282", 20)</f>
        <v>20</v>
      </c>
      <c r="AR736" s="26">
        <f>HYPERLINK("[N&amp;P New retention.xlsx]'Lake P Results'!AH282", 20)</f>
        <v>20</v>
      </c>
      <c r="AS736" s="26">
        <f>HYPERLINK("[N&amp;P with New retention and Differentiation.xlsx]'Lake P Results'!AH282", 20)</f>
        <v>20</v>
      </c>
      <c r="AT736" s="18"/>
      <c r="AU736" s="18"/>
      <c r="AV736" s="18"/>
      <c r="AW736" s="18"/>
      <c r="AX736" s="18"/>
      <c r="AY736" s="18"/>
      <c r="AZ736" s="18"/>
      <c r="BA736" s="27">
        <f>HYPERLINK("[N&amp;P Old retention.xlsx]'Lake P Results'!O282", 13.856)</f>
        <v>13.856</v>
      </c>
      <c r="BB736" s="27">
        <f>HYPERLINK("[N&amp;P New retention.xlsx]'Lake P Results'!O282", 13.856)</f>
        <v>13.856</v>
      </c>
      <c r="BC736" s="27">
        <f>HYPERLINK("[N&amp;P with New retention and Differentiation.xlsx]'Lake P Results'!O282", 13.856)</f>
        <v>13.856</v>
      </c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</row>
    <row r="737" spans="1:67" x14ac:dyDescent="0.55000000000000004">
      <c r="A737" s="31">
        <v>698</v>
      </c>
      <c r="B737" s="5" t="s">
        <v>594</v>
      </c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29">
        <f>HYPERLINK("[N&amp;P Old retention.xlsx]'Lake P Results'!R283", 0.19)</f>
        <v>0.19</v>
      </c>
      <c r="BG737" s="29">
        <f>HYPERLINK("[N&amp;P New retention.xlsx]'Lake P Results'!R283", 0.844)</f>
        <v>0.84399999999999997</v>
      </c>
      <c r="BH737" s="29">
        <f>HYPERLINK("[N&amp;P with New retention and Differentiation.xlsx]'Lake P Results'!R283", 0.844)</f>
        <v>0.84399999999999997</v>
      </c>
      <c r="BI737" s="46">
        <f>BG737-BF737</f>
        <v>0.65399999999999991</v>
      </c>
      <c r="BJ737" s="46">
        <f>BH737-BF737</f>
        <v>0.65399999999999991</v>
      </c>
      <c r="BK737" s="29">
        <f>HYPERLINK("[N&amp;P Old retention.xlsx]'Lake P Results'!Q283", 0.538)</f>
        <v>0.53800000000000003</v>
      </c>
      <c r="BL737" s="29">
        <f>HYPERLINK("[N&amp;P New retention.xlsx]'Lake P Results'!Q283", 1.558)</f>
        <v>1.5580000000000001</v>
      </c>
      <c r="BM737" s="29">
        <f>HYPERLINK("[N&amp;P with New retention and Differentiation.xlsx]'Lake P Results'!Q283", 1.558)</f>
        <v>1.5580000000000001</v>
      </c>
      <c r="BN737" s="46">
        <f>BL737-BK737</f>
        <v>1.02</v>
      </c>
      <c r="BO737" s="46">
        <f>BM737-BK737</f>
        <v>1.02</v>
      </c>
    </row>
    <row r="738" spans="1:67" x14ac:dyDescent="0.55000000000000004">
      <c r="A738" s="30">
        <v>699</v>
      </c>
      <c r="B738" s="6" t="s">
        <v>595</v>
      </c>
      <c r="C738" s="27">
        <f>HYPERLINK("[N&amp;P Old retention.xlsx]'Lake P Results'!AE284", 19.986)</f>
        <v>19.986000000000001</v>
      </c>
      <c r="D738" s="27">
        <f>HYPERLINK("[N&amp;P New retention.xlsx]'Lake P Results'!AE284", 19.986)</f>
        <v>19.986000000000001</v>
      </c>
      <c r="E738" s="27">
        <f>HYPERLINK("[N&amp;P with New retention and Differentiation.xlsx]'Lake P Results'!AE284", 19.986)</f>
        <v>19.986000000000001</v>
      </c>
      <c r="F738" s="18"/>
      <c r="G738" s="18"/>
      <c r="H738" s="26">
        <f>HYPERLINK("[N&amp;P Old retention.xlsx]'Lake P Results'!AM284", 72000)</f>
        <v>72000</v>
      </c>
      <c r="I738" s="26">
        <f>HYPERLINK("[N&amp;P New retention.xlsx]'Lake P Results'!AM284", 72000)</f>
        <v>72000</v>
      </c>
      <c r="J738" s="26">
        <f>HYPERLINK("[N&amp;P with New retention and Differentiation.xlsx]'Lake P Results'!AM284", 72000)</f>
        <v>72000</v>
      </c>
      <c r="K738" s="18"/>
      <c r="L738" s="18"/>
      <c r="M738" s="27">
        <f>HYPERLINK("[N&amp;P Old retention.xlsx]'Lake P Results'!AC284", 40.646)</f>
        <v>40.646000000000001</v>
      </c>
      <c r="N738" s="27">
        <f>HYPERLINK("[N&amp;P New retention.xlsx]'Lake P Results'!AC284", 40.832)</f>
        <v>40.832000000000001</v>
      </c>
      <c r="O738" s="27">
        <f>HYPERLINK("[N&amp;P with New retention and Differentiation.xlsx]'Lake P Results'!AC284", 54.446)</f>
        <v>54.445999999999998</v>
      </c>
      <c r="P738" s="46">
        <f>N738-M738</f>
        <v>0.18599999999999994</v>
      </c>
      <c r="Q738" s="46">
        <f>O738-M738</f>
        <v>13.799999999999997</v>
      </c>
      <c r="R738" s="27">
        <f>HYPERLINK("[N&amp;P Old retention.xlsx]'Lake P Results'!Y284", 2.51)</f>
        <v>2.5099999999999998</v>
      </c>
      <c r="S738" s="27">
        <f>HYPERLINK("[N&amp;P New retention.xlsx]'Lake P Results'!Y284", 16.744)</f>
        <v>16.744</v>
      </c>
      <c r="T738" s="27">
        <f>HYPERLINK("[N&amp;P with New retention and Differentiation.xlsx]'Lake P Results'!Y284", 8.88)</f>
        <v>8.8800000000000008</v>
      </c>
      <c r="U738" s="46">
        <f>S738-R738</f>
        <v>14.234</v>
      </c>
      <c r="V738" s="46">
        <f>T738-R738</f>
        <v>6.370000000000001</v>
      </c>
      <c r="W738" s="27">
        <f>HYPERLINK("[N&amp;P Old retention.xlsx]'Lake P Results'!V284", 52.614)</f>
        <v>52.613999999999997</v>
      </c>
      <c r="X738" s="27">
        <f>HYPERLINK("[N&amp;P New retention.xlsx]'Lake P Results'!V284", 52.614)</f>
        <v>52.613999999999997</v>
      </c>
      <c r="Y738" s="27">
        <f>HYPERLINK("[N&amp;P with New retention and Differentiation.xlsx]'Lake P Results'!V284", 52.614)</f>
        <v>52.613999999999997</v>
      </c>
      <c r="Z738" s="18"/>
      <c r="AA738" s="18"/>
      <c r="AB738" s="27">
        <f>HYPERLINK("[N&amp;P Old retention.xlsx]'Lake P Results'!Z284", 39.77)</f>
        <v>39.770000000000003</v>
      </c>
      <c r="AC738" s="27">
        <f>HYPERLINK("[N&amp;P New retention.xlsx]'Lake P Results'!Z284", 25.35)</f>
        <v>25.35</v>
      </c>
      <c r="AD738" s="27">
        <f>HYPERLINK("[N&amp;P with New retention and Differentiation.xlsx]'Lake P Results'!Z284", 19.6)</f>
        <v>19.600000000000001</v>
      </c>
      <c r="AE738" s="47">
        <f>AC738-AB738</f>
        <v>-14.420000000000002</v>
      </c>
      <c r="AF738" s="47">
        <f>AD738-AB738</f>
        <v>-20.170000000000002</v>
      </c>
      <c r="AG738" s="27">
        <f>HYPERLINK("[N&amp;P Old retention.xlsx]'Lake P Results'!AA284", 1.956)</f>
        <v>1.956</v>
      </c>
      <c r="AH738" s="27">
        <f>HYPERLINK("[N&amp;P New retention.xlsx]'Lake P Results'!AA284", 1.956)</f>
        <v>1.956</v>
      </c>
      <c r="AI738" s="27">
        <f>HYPERLINK("[N&amp;P with New retention and Differentiation.xlsx]'Lake P Results'!AA284", 1.956)</f>
        <v>1.956</v>
      </c>
      <c r="AJ738" s="18"/>
      <c r="AK738" s="18"/>
      <c r="AL738" s="27">
        <f>HYPERLINK("[N&amp;P Old retention.xlsx]'Lake P Results'!AF284", 0.32)</f>
        <v>0.32</v>
      </c>
      <c r="AM738" s="27">
        <f>HYPERLINK("[N&amp;P New retention.xlsx]'Lake P Results'!AF284", 0.32)</f>
        <v>0.32</v>
      </c>
      <c r="AN738" s="27">
        <f>HYPERLINK("[N&amp;P with New retention and Differentiation.xlsx]'Lake P Results'!AF284", 0.32)</f>
        <v>0.32</v>
      </c>
      <c r="AO738" s="18"/>
      <c r="AP738" s="18"/>
      <c r="AQ738" s="26">
        <f>HYPERLINK("[N&amp;P Old retention.xlsx]'Lake P Results'!AH284", 2040)</f>
        <v>2040</v>
      </c>
      <c r="AR738" s="26">
        <f>HYPERLINK("[N&amp;P New retention.xlsx]'Lake P Results'!AH284", 2040)</f>
        <v>2040</v>
      </c>
      <c r="AS738" s="26">
        <f>HYPERLINK("[N&amp;P with New retention and Differentiation.xlsx]'Lake P Results'!AH284", 2040)</f>
        <v>2040</v>
      </c>
      <c r="AT738" s="18"/>
      <c r="AU738" s="18"/>
      <c r="AV738" s="27">
        <f>HYPERLINK("[N&amp;P Old retention.xlsx]'Lake P Results'!M284", 1801.93)</f>
        <v>1801.93</v>
      </c>
      <c r="AW738" s="27">
        <f>HYPERLINK("[N&amp;P New retention.xlsx]'Lake P Results'!M284", 1897.49)</f>
        <v>1897.49</v>
      </c>
      <c r="AX738" s="18"/>
      <c r="AY738" s="46">
        <f>AW738-AV738</f>
        <v>95.559999999999945</v>
      </c>
      <c r="AZ738" s="47">
        <f>AX738-AV738</f>
        <v>-1801.93</v>
      </c>
      <c r="BA738" s="27">
        <f>HYPERLINK("[N&amp;P Old retention.xlsx]'Lake P Results'!O284", 358.246)</f>
        <v>358.24599999999998</v>
      </c>
      <c r="BB738" s="27">
        <f>HYPERLINK("[N&amp;P New retention.xlsx]'Lake P Results'!O284", 258.996)</f>
        <v>258.99599999999998</v>
      </c>
      <c r="BC738" s="27">
        <f>HYPERLINK("[N&amp;P with New retention and Differentiation.xlsx]'Lake P Results'!O284", 2159.636)</f>
        <v>2159.636</v>
      </c>
      <c r="BD738" s="47">
        <f>BB738-BA738</f>
        <v>-99.25</v>
      </c>
      <c r="BE738" s="46">
        <f>BC738-BA738</f>
        <v>1801.3899999999999</v>
      </c>
      <c r="BF738" s="27">
        <f>HYPERLINK("[N&amp;P Old retention.xlsx]'Lake P Results'!R284", 0.218)</f>
        <v>0.218</v>
      </c>
      <c r="BG738" s="27">
        <f>HYPERLINK("[N&amp;P New retention.xlsx]'Lake P Results'!R284", 0.3)</f>
        <v>0.3</v>
      </c>
      <c r="BH738" s="27">
        <f>HYPERLINK("[N&amp;P with New retention and Differentiation.xlsx]'Lake P Results'!R284", 0.28)</f>
        <v>0.28000000000000003</v>
      </c>
      <c r="BI738" s="46">
        <f>BG738-BF738</f>
        <v>8.199999999999999E-2</v>
      </c>
      <c r="BJ738" s="46">
        <f>BH738-BF738</f>
        <v>6.2000000000000027E-2</v>
      </c>
      <c r="BK738" s="18"/>
      <c r="BL738" s="18"/>
      <c r="BM738" s="18"/>
      <c r="BN738" s="18"/>
      <c r="BO738" s="18"/>
    </row>
    <row r="739" spans="1:67" x14ac:dyDescent="0.55000000000000004">
      <c r="A739" s="31">
        <v>700</v>
      </c>
      <c r="B739" s="5"/>
      <c r="C739" s="13"/>
      <c r="D739" s="13"/>
      <c r="E739" s="13"/>
      <c r="F739" s="13"/>
      <c r="G739" s="13"/>
      <c r="H739" s="28">
        <f>HYPERLINK("[N&amp;P Old retention.xlsx]'Lake P Results'!AM285", 300)</f>
        <v>300</v>
      </c>
      <c r="I739" s="28">
        <f>HYPERLINK("[N&amp;P New retention.xlsx]'Lake P Results'!AM285", 300)</f>
        <v>300</v>
      </c>
      <c r="J739" s="28">
        <f>HYPERLINK("[N&amp;P with New retention and Differentiation.xlsx]'Lake P Results'!AM285", 300)</f>
        <v>300</v>
      </c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</row>
    <row r="740" spans="1:67" x14ac:dyDescent="0.55000000000000004">
      <c r="A740" s="30">
        <v>703</v>
      </c>
      <c r="B740" s="6" t="s">
        <v>596</v>
      </c>
      <c r="C740" s="27">
        <f>HYPERLINK("[N&amp;P Old retention.xlsx]'Lake P Results'!AE286", 8.926)</f>
        <v>8.9260000000000002</v>
      </c>
      <c r="D740" s="27">
        <f>HYPERLINK("[N&amp;P New retention.xlsx]'Lake P Results'!AE286", 8.926)</f>
        <v>8.9260000000000002</v>
      </c>
      <c r="E740" s="27">
        <f>HYPERLINK("[N&amp;P with New retention and Differentiation.xlsx]'Lake P Results'!AE286", 8.926)</f>
        <v>8.9260000000000002</v>
      </c>
      <c r="F740" s="18"/>
      <c r="G740" s="18"/>
      <c r="H740" s="26">
        <f>HYPERLINK("[N&amp;P Old retention.xlsx]'Lake P Results'!AM286", 11000)</f>
        <v>11000</v>
      </c>
      <c r="I740" s="26">
        <f>HYPERLINK("[N&amp;P New retention.xlsx]'Lake P Results'!AM286", 11000)</f>
        <v>11000</v>
      </c>
      <c r="J740" s="26">
        <f>HYPERLINK("[N&amp;P with New retention and Differentiation.xlsx]'Lake P Results'!AM286", 11000)</f>
        <v>11000</v>
      </c>
      <c r="K740" s="18"/>
      <c r="L740" s="18"/>
      <c r="M740" s="27">
        <f>HYPERLINK("[N&amp;P Old retention.xlsx]'Lake P Results'!AC286", 10.204)</f>
        <v>10.204000000000001</v>
      </c>
      <c r="N740" s="27">
        <f>HYPERLINK("[N&amp;P New retention.xlsx]'Lake P Results'!AC286", 10.07)</f>
        <v>10.07</v>
      </c>
      <c r="O740" s="27">
        <f>HYPERLINK("[N&amp;P with New retention and Differentiation.xlsx]'Lake P Results'!AC286", 19.5)</f>
        <v>19.5</v>
      </c>
      <c r="P740" s="47">
        <f>N740-M740</f>
        <v>-0.13400000000000034</v>
      </c>
      <c r="Q740" s="46">
        <f>O740-M740</f>
        <v>9.2959999999999994</v>
      </c>
      <c r="R740" s="27">
        <f>HYPERLINK("[N&amp;P Old retention.xlsx]'Lake P Results'!Y286", 38.494)</f>
        <v>38.494</v>
      </c>
      <c r="S740" s="27">
        <f>HYPERLINK("[N&amp;P New retention.xlsx]'Lake P Results'!Y286", 40.854)</f>
        <v>40.853999999999999</v>
      </c>
      <c r="T740" s="27">
        <f>HYPERLINK("[N&amp;P with New retention and Differentiation.xlsx]'Lake P Results'!Y286", 33.828)</f>
        <v>33.828000000000003</v>
      </c>
      <c r="U740" s="46">
        <f>S740-R740</f>
        <v>2.3599999999999994</v>
      </c>
      <c r="V740" s="47">
        <f>T740-R740</f>
        <v>-4.6659999999999968</v>
      </c>
      <c r="W740" s="27">
        <f>HYPERLINK("[N&amp;P Old retention.xlsx]'Lake P Results'!V286", 36.47)</f>
        <v>36.47</v>
      </c>
      <c r="X740" s="27">
        <f>HYPERLINK("[N&amp;P New retention.xlsx]'Lake P Results'!V286", 36.47)</f>
        <v>36.47</v>
      </c>
      <c r="Y740" s="27">
        <f>HYPERLINK("[N&amp;P with New retention and Differentiation.xlsx]'Lake P Results'!V286", 36.47)</f>
        <v>36.47</v>
      </c>
      <c r="Z740" s="18"/>
      <c r="AA740" s="18"/>
      <c r="AB740" s="27">
        <f>HYPERLINK("[N&amp;P Old retention.xlsx]'Lake P Results'!Z286", 20.036)</f>
        <v>20.036000000000001</v>
      </c>
      <c r="AC740" s="27">
        <f>HYPERLINK("[N&amp;P New retention.xlsx]'Lake P Results'!Z286", 17.81)</f>
        <v>17.809999999999999</v>
      </c>
      <c r="AD740" s="27">
        <f>HYPERLINK("[N&amp;P with New retention and Differentiation.xlsx]'Lake P Results'!Z286", 15.406)</f>
        <v>15.406000000000001</v>
      </c>
      <c r="AE740" s="47">
        <f>AC740-AB740</f>
        <v>-2.2260000000000026</v>
      </c>
      <c r="AF740" s="47">
        <f>AD740-AB740</f>
        <v>-4.6300000000000008</v>
      </c>
      <c r="AG740" s="18"/>
      <c r="AH740" s="18"/>
      <c r="AI740" s="18"/>
      <c r="AJ740" s="18"/>
      <c r="AK740" s="18"/>
      <c r="AL740" s="27">
        <f>HYPERLINK("[N&amp;P Old retention.xlsx]'Lake P Results'!AF286", 0.4)</f>
        <v>0.4</v>
      </c>
      <c r="AM740" s="27">
        <f>HYPERLINK("[N&amp;P New retention.xlsx]'Lake P Results'!AF286", 0.4)</f>
        <v>0.4</v>
      </c>
      <c r="AN740" s="27">
        <f>HYPERLINK("[N&amp;P with New retention and Differentiation.xlsx]'Lake P Results'!AF286", 0.4)</f>
        <v>0.4</v>
      </c>
      <c r="AO740" s="18"/>
      <c r="AP740" s="18"/>
      <c r="AQ740" s="26">
        <f>HYPERLINK("[N&amp;P Old retention.xlsx]'Lake P Results'!AH286", 700)</f>
        <v>700</v>
      </c>
      <c r="AR740" s="26">
        <f>HYPERLINK("[N&amp;P New retention.xlsx]'Lake P Results'!AH286", 700)</f>
        <v>700</v>
      </c>
      <c r="AS740" s="26">
        <f>HYPERLINK("[N&amp;P with New retention and Differentiation.xlsx]'Lake P Results'!AH286", 700)</f>
        <v>700</v>
      </c>
      <c r="AT740" s="18"/>
      <c r="AU740" s="18"/>
      <c r="AV740" s="18"/>
      <c r="AW740" s="18"/>
      <c r="AX740" s="18"/>
      <c r="AY740" s="18"/>
      <c r="AZ740" s="18"/>
      <c r="BA740" s="27">
        <f>HYPERLINK("[N&amp;P Old retention.xlsx]'Lake P Results'!O286", 530.188)</f>
        <v>530.18799999999999</v>
      </c>
      <c r="BB740" s="27">
        <f>HYPERLINK("[N&amp;P New retention.xlsx]'Lake P Results'!O286", 530.188)</f>
        <v>530.18799999999999</v>
      </c>
      <c r="BC740" s="27">
        <f>HYPERLINK("[N&amp;P with New retention and Differentiation.xlsx]'Lake P Results'!O286", 530.188)</f>
        <v>530.18799999999999</v>
      </c>
      <c r="BD740" s="18"/>
      <c r="BE740" s="18"/>
      <c r="BF740" s="27">
        <f>HYPERLINK("[N&amp;P Old retention.xlsx]'Lake P Results'!R286", 0.0239999999999999)</f>
        <v>2.39999999999999E-2</v>
      </c>
      <c r="BG740" s="27">
        <f>HYPERLINK("[N&amp;P New retention.xlsx]'Lake P Results'!R286", 0.0239999999999999)</f>
        <v>2.39999999999999E-2</v>
      </c>
      <c r="BH740" s="27">
        <f>HYPERLINK("[N&amp;P with New retention and Differentiation.xlsx]'Lake P Results'!R286", 0.0239999999999999)</f>
        <v>2.39999999999999E-2</v>
      </c>
      <c r="BI740" s="18"/>
      <c r="BJ740" s="18"/>
      <c r="BK740" s="18"/>
      <c r="BL740" s="18"/>
      <c r="BM740" s="18"/>
      <c r="BN740" s="18"/>
      <c r="BO740" s="18"/>
    </row>
    <row r="741" spans="1:67" x14ac:dyDescent="0.55000000000000004">
      <c r="A741" s="31">
        <v>704</v>
      </c>
      <c r="B741" s="5" t="s">
        <v>597</v>
      </c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29">
        <f>HYPERLINK("[N&amp;P Old retention.xlsx]'Lake P Results'!R287", 4.92)</f>
        <v>4.92</v>
      </c>
      <c r="BG741" s="29">
        <f>HYPERLINK("[N&amp;P New retention.xlsx]'Lake P Results'!R287", 4.92)</f>
        <v>4.92</v>
      </c>
      <c r="BH741" s="29">
        <f>HYPERLINK("[N&amp;P with New retention and Differentiation.xlsx]'Lake P Results'!R287", 4.92)</f>
        <v>4.92</v>
      </c>
      <c r="BI741" s="13"/>
      <c r="BJ741" s="13"/>
      <c r="BK741" s="13"/>
      <c r="BL741" s="13"/>
      <c r="BM741" s="13"/>
      <c r="BN741" s="13"/>
      <c r="BO741" s="13"/>
    </row>
    <row r="742" spans="1:67" x14ac:dyDescent="0.55000000000000004">
      <c r="A742" s="30">
        <v>709</v>
      </c>
      <c r="B742" s="6" t="s">
        <v>598</v>
      </c>
      <c r="C742" s="27">
        <f>HYPERLINK("[N&amp;P Old retention.xlsx]'Lake P Results'!AE288", 61.368)</f>
        <v>61.368000000000002</v>
      </c>
      <c r="D742" s="27">
        <f>HYPERLINK("[N&amp;P New retention.xlsx]'Lake P Results'!AE288", 61.368)</f>
        <v>61.368000000000002</v>
      </c>
      <c r="E742" s="27">
        <f>HYPERLINK("[N&amp;P with New retention and Differentiation.xlsx]'Lake P Results'!AE288", 61.368)</f>
        <v>61.368000000000002</v>
      </c>
      <c r="F742" s="18"/>
      <c r="G742" s="18"/>
      <c r="H742" s="26">
        <f>HYPERLINK("[N&amp;P Old retention.xlsx]'Lake P Results'!AM288", 142000)</f>
        <v>142000</v>
      </c>
      <c r="I742" s="26">
        <f>HYPERLINK("[N&amp;P New retention.xlsx]'Lake P Results'!AM288", 142000)</f>
        <v>142000</v>
      </c>
      <c r="J742" s="26">
        <f>HYPERLINK("[N&amp;P with New retention and Differentiation.xlsx]'Lake P Results'!AM288", 142200)</f>
        <v>142200</v>
      </c>
      <c r="K742" s="18"/>
      <c r="L742" s="16">
        <f>J742-H742</f>
        <v>200</v>
      </c>
      <c r="M742" s="27">
        <f>HYPERLINK("[N&amp;P Old retention.xlsx]'Lake P Results'!AC288", 3243.628)</f>
        <v>3243.6280000000002</v>
      </c>
      <c r="N742" s="27">
        <f>HYPERLINK("[N&amp;P New retention.xlsx]'Lake P Results'!AC288", 3128.41)</f>
        <v>3128.41</v>
      </c>
      <c r="O742" s="27">
        <f>HYPERLINK("[N&amp;P with New retention and Differentiation.xlsx]'Lake P Results'!AC288", 3145.786)</f>
        <v>3145.7860000000001</v>
      </c>
      <c r="P742" s="47">
        <f>N742-M742</f>
        <v>-115.2180000000003</v>
      </c>
      <c r="Q742" s="47">
        <f>O742-M742</f>
        <v>-97.842000000000098</v>
      </c>
      <c r="R742" s="27">
        <f>HYPERLINK("[N&amp;P Old retention.xlsx]'Lake P Results'!Y288", 27.81)</f>
        <v>27.81</v>
      </c>
      <c r="S742" s="27">
        <f>HYPERLINK("[N&amp;P New retention.xlsx]'Lake P Results'!Y288", 42.01)</f>
        <v>42.01</v>
      </c>
      <c r="T742" s="27">
        <f>HYPERLINK("[N&amp;P with New retention and Differentiation.xlsx]'Lake P Results'!Y288", 32.364)</f>
        <v>32.363999999999997</v>
      </c>
      <c r="U742" s="46">
        <f>S742-R742</f>
        <v>14.2</v>
      </c>
      <c r="V742" s="46">
        <f>T742-R742</f>
        <v>4.5539999999999985</v>
      </c>
      <c r="W742" s="27">
        <f>HYPERLINK("[N&amp;P Old retention.xlsx]'Lake P Results'!V288", 685.096)</f>
        <v>685.096</v>
      </c>
      <c r="X742" s="27">
        <f>HYPERLINK("[N&amp;P New retention.xlsx]'Lake P Results'!V288", 660.206)</f>
        <v>660.20600000000002</v>
      </c>
      <c r="Y742" s="27">
        <f>HYPERLINK("[N&amp;P with New retention and Differentiation.xlsx]'Lake P Results'!V288", 682.326)</f>
        <v>682.32600000000002</v>
      </c>
      <c r="Z742" s="47">
        <f>X742-W742</f>
        <v>-24.889999999999986</v>
      </c>
      <c r="AA742" s="47">
        <f>Y742-W742</f>
        <v>-2.7699999999999818</v>
      </c>
      <c r="AB742" s="27">
        <f>HYPERLINK("[N&amp;P Old retention.xlsx]'Lake P Results'!Z288", 33.47)</f>
        <v>33.47</v>
      </c>
      <c r="AC742" s="27">
        <f>HYPERLINK("[N&amp;P New retention.xlsx]'Lake P Results'!Z288", 59.124)</f>
        <v>59.124000000000002</v>
      </c>
      <c r="AD742" s="27">
        <f>HYPERLINK("[N&amp;P with New retention and Differentiation.xlsx]'Lake P Results'!Z288", 61.684)</f>
        <v>61.683999999999997</v>
      </c>
      <c r="AE742" s="46">
        <f>AC742-AB742</f>
        <v>25.654000000000003</v>
      </c>
      <c r="AF742" s="46">
        <f>AD742-AB742</f>
        <v>28.213999999999999</v>
      </c>
      <c r="AG742" s="27">
        <f>HYPERLINK("[N&amp;P Old retention.xlsx]'Lake P Results'!AA288", 14.348)</f>
        <v>14.348000000000001</v>
      </c>
      <c r="AH742" s="27">
        <f>HYPERLINK("[N&amp;P New retention.xlsx]'Lake P Results'!AA288", 14.348)</f>
        <v>14.348000000000001</v>
      </c>
      <c r="AI742" s="27">
        <f>HYPERLINK("[N&amp;P with New retention and Differentiation.xlsx]'Lake P Results'!AA288", 14.348)</f>
        <v>14.348000000000001</v>
      </c>
      <c r="AJ742" s="18"/>
      <c r="AK742" s="18"/>
      <c r="AL742" s="27">
        <f>HYPERLINK("[N&amp;P Old retention.xlsx]'Lake P Results'!AF288", 0.42)</f>
        <v>0.42</v>
      </c>
      <c r="AM742" s="27">
        <f>HYPERLINK("[N&amp;P New retention.xlsx]'Lake P Results'!AF288", 0.42)</f>
        <v>0.42</v>
      </c>
      <c r="AN742" s="27">
        <f>HYPERLINK("[N&amp;P with New retention and Differentiation.xlsx]'Lake P Results'!AF288", 0.42)</f>
        <v>0.42</v>
      </c>
      <c r="AO742" s="18"/>
      <c r="AP742" s="18"/>
      <c r="AQ742" s="26">
        <f>HYPERLINK("[N&amp;P Old retention.xlsx]'Lake P Results'!AH288", 7909.99999999019)</f>
        <v>7909.9999999901902</v>
      </c>
      <c r="AR742" s="26">
        <f>HYPERLINK("[N&amp;P New retention.xlsx]'Lake P Results'!AH288", 7879.99999999019)</f>
        <v>7879.9999999901902</v>
      </c>
      <c r="AS742" s="26">
        <f>HYPERLINK("[N&amp;P with New retention and Differentiation.xlsx]'Lake P Results'!AH288", 7889.99999999019)</f>
        <v>7889.9999999901902</v>
      </c>
      <c r="AT742" s="21">
        <f>AR742-AQ742</f>
        <v>-30</v>
      </c>
      <c r="AU742" s="21">
        <f>AS742-AQ742</f>
        <v>-20</v>
      </c>
      <c r="AV742" s="27">
        <f>HYPERLINK("[N&amp;P Old retention.xlsx]'Lake P Results'!M288", 2241.49)</f>
        <v>2241.4899999999998</v>
      </c>
      <c r="AW742" s="27">
        <f>HYPERLINK("[N&amp;P New retention.xlsx]'Lake P Results'!M288", 2706.21)</f>
        <v>2706.21</v>
      </c>
      <c r="AX742" s="18"/>
      <c r="AY742" s="46">
        <f>AW742-AV742</f>
        <v>464.72000000000025</v>
      </c>
      <c r="AZ742" s="47">
        <f>AX742-AV742</f>
        <v>-2241.4899999999998</v>
      </c>
      <c r="BA742" s="27">
        <f>HYPERLINK("[N&amp;P Old retention.xlsx]'Lake P Results'!O288", 807.842)</f>
        <v>807.84199999999998</v>
      </c>
      <c r="BB742" s="27">
        <f>HYPERLINK("[N&amp;P New retention.xlsx]'Lake P Results'!O288", 458.552)</f>
        <v>458.55200000000002</v>
      </c>
      <c r="BC742" s="27">
        <f>HYPERLINK("[N&amp;P with New retention and Differentiation.xlsx]'Lake P Results'!O288", 3138.91)</f>
        <v>3138.91</v>
      </c>
      <c r="BD742" s="47">
        <f>BB742-BA742</f>
        <v>-349.28999999999996</v>
      </c>
      <c r="BE742" s="46">
        <f>BC742-BA742</f>
        <v>2331.0679999999998</v>
      </c>
      <c r="BF742" s="27">
        <f>HYPERLINK("[N&amp;P Old retention.xlsx]'Lake P Results'!R288", 1.61)</f>
        <v>1.61</v>
      </c>
      <c r="BG742" s="27">
        <f>HYPERLINK("[N&amp;P New retention.xlsx]'Lake P Results'!R288", 1.61)</f>
        <v>1.61</v>
      </c>
      <c r="BH742" s="27">
        <f>HYPERLINK("[N&amp;P with New retention and Differentiation.xlsx]'Lake P Results'!R288", 1.434)</f>
        <v>1.4339999999999999</v>
      </c>
      <c r="BI742" s="18"/>
      <c r="BJ742" s="47">
        <f>BH742-BF742</f>
        <v>-0.17600000000000016</v>
      </c>
      <c r="BK742" s="27">
        <f>HYPERLINK("[N&amp;P Old retention.xlsx]'Lake P Results'!Q288", 0.54)</f>
        <v>0.54</v>
      </c>
      <c r="BL742" s="27">
        <f>HYPERLINK("[N&amp;P New retention.xlsx]'Lake P Results'!Q288", 1.464)</f>
        <v>1.464</v>
      </c>
      <c r="BM742" s="27">
        <f>HYPERLINK("[N&amp;P with New retention and Differentiation.xlsx]'Lake P Results'!Q288", 0.54)</f>
        <v>0.54</v>
      </c>
      <c r="BN742" s="46">
        <f>BL742-BK742</f>
        <v>0.92399999999999993</v>
      </c>
      <c r="BO742" s="18"/>
    </row>
    <row r="743" spans="1:67" x14ac:dyDescent="0.55000000000000004">
      <c r="A743" s="31">
        <v>712</v>
      </c>
      <c r="B743" s="5" t="s">
        <v>599</v>
      </c>
      <c r="C743" s="29">
        <f>HYPERLINK("[N&amp;P Old retention.xlsx]'Lake P Results'!AE289", 0.0439999999999999)</f>
        <v>4.39999999999999E-2</v>
      </c>
      <c r="D743" s="29">
        <f>HYPERLINK("[N&amp;P New retention.xlsx]'Lake P Results'!AE289", 0.0439999999999999)</f>
        <v>4.39999999999999E-2</v>
      </c>
      <c r="E743" s="29">
        <f>HYPERLINK("[N&amp;P with New retention and Differentiation.xlsx]'Lake P Results'!AE289", 0.0439999999999999)</f>
        <v>4.39999999999999E-2</v>
      </c>
      <c r="F743" s="13"/>
      <c r="G743" s="13"/>
      <c r="H743" s="28">
        <f>HYPERLINK("[N&amp;P Old retention.xlsx]'Lake P Results'!AM289", 1700)</f>
        <v>1700</v>
      </c>
      <c r="I743" s="28">
        <f>HYPERLINK("[N&amp;P New retention.xlsx]'Lake P Results'!AM289", 1700)</f>
        <v>1700</v>
      </c>
      <c r="J743" s="28">
        <f>HYPERLINK("[N&amp;P with New retention and Differentiation.xlsx]'Lake P Results'!AM289", 1700)</f>
        <v>1700</v>
      </c>
      <c r="K743" s="13"/>
      <c r="L743" s="13"/>
      <c r="M743" s="29">
        <f>HYPERLINK("[N&amp;P Old retention.xlsx]'Lake P Results'!AC289", 10.49)</f>
        <v>10.49</v>
      </c>
      <c r="N743" s="29">
        <f>HYPERLINK("[N&amp;P New retention.xlsx]'Lake P Results'!AC289", 10.49)</f>
        <v>10.49</v>
      </c>
      <c r="O743" s="29">
        <f>HYPERLINK("[N&amp;P with New retention and Differentiation.xlsx]'Lake P Results'!AC289", 10.49)</f>
        <v>10.49</v>
      </c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28">
        <f>HYPERLINK("[N&amp;P Old retention.xlsx]'Lake P Results'!AH289", 50)</f>
        <v>50</v>
      </c>
      <c r="AR743" s="28">
        <f>HYPERLINK("[N&amp;P New retention.xlsx]'Lake P Results'!AH289", 50)</f>
        <v>50</v>
      </c>
      <c r="AS743" s="28">
        <f>HYPERLINK("[N&amp;P with New retention and Differentiation.xlsx]'Lake P Results'!AH289", 50)</f>
        <v>50</v>
      </c>
      <c r="AT743" s="13"/>
      <c r="AU743" s="13"/>
      <c r="AV743" s="29">
        <f>HYPERLINK("[N&amp;P Old retention.xlsx]'Lake P Results'!M289", 34.63)</f>
        <v>34.630000000000003</v>
      </c>
      <c r="AW743" s="29">
        <f>HYPERLINK("[N&amp;P New retention.xlsx]'Lake P Results'!M289", 44.62)</f>
        <v>44.62</v>
      </c>
      <c r="AX743" s="13"/>
      <c r="AY743" s="46">
        <f>AW743-AV743</f>
        <v>9.9899999999999949</v>
      </c>
      <c r="AZ743" s="47">
        <f>AX743-AV743</f>
        <v>-34.630000000000003</v>
      </c>
      <c r="BA743" s="29">
        <f>HYPERLINK("[N&amp;P Old retention.xlsx]'Lake P Results'!O289", 14.678)</f>
        <v>14.678000000000001</v>
      </c>
      <c r="BB743" s="29">
        <f>HYPERLINK("[N&amp;P New retention.xlsx]'Lake P Results'!O289", 4.688)</f>
        <v>4.6879999999999997</v>
      </c>
      <c r="BC743" s="29">
        <f>HYPERLINK("[N&amp;P with New retention and Differentiation.xlsx]'Lake P Results'!O289", 49.308)</f>
        <v>49.308</v>
      </c>
      <c r="BD743" s="47">
        <f>BB743-BA743</f>
        <v>-9.990000000000002</v>
      </c>
      <c r="BE743" s="46">
        <f>BC743-BA743</f>
        <v>34.629999999999995</v>
      </c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</row>
    <row r="744" spans="1:67" x14ac:dyDescent="0.55000000000000004">
      <c r="A744" s="30">
        <v>714</v>
      </c>
      <c r="B744" s="6" t="s">
        <v>600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</row>
    <row r="745" spans="1:67" x14ac:dyDescent="0.55000000000000004">
      <c r="A745" s="31">
        <v>716</v>
      </c>
      <c r="B745" s="5" t="s">
        <v>601</v>
      </c>
      <c r="C745" s="13"/>
      <c r="D745" s="13"/>
      <c r="E745" s="13"/>
      <c r="F745" s="13"/>
      <c r="G745" s="13"/>
      <c r="H745" s="28">
        <f>HYPERLINK("[N&amp;P Old retention.xlsx]'Lake P Results'!AM291", 400)</f>
        <v>400</v>
      </c>
      <c r="I745" s="28">
        <f>HYPERLINK("[N&amp;P New retention.xlsx]'Lake P Results'!AM291", 400)</f>
        <v>400</v>
      </c>
      <c r="J745" s="28">
        <f>HYPERLINK("[N&amp;P with New retention and Differentiation.xlsx]'Lake P Results'!AM291", 400)</f>
        <v>400</v>
      </c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29">
        <f>HYPERLINK("[N&amp;P New retention.xlsx]'Lake P Results'!M291", 28.04)</f>
        <v>28.04</v>
      </c>
      <c r="AX745" s="13"/>
      <c r="AY745" s="46">
        <f>AW745-AV745</f>
        <v>28.04</v>
      </c>
      <c r="AZ745" s="13"/>
      <c r="BA745" s="29">
        <f>HYPERLINK("[N&amp;P Old retention.xlsx]'Lake P Results'!O291", 28.04)</f>
        <v>28.04</v>
      </c>
      <c r="BB745" s="13"/>
      <c r="BC745" s="29">
        <f>HYPERLINK("[N&amp;P with New retention and Differentiation.xlsx]'Lake P Results'!O291", 28.04)</f>
        <v>28.04</v>
      </c>
      <c r="BD745" s="47">
        <f>BB745-BA745</f>
        <v>-28.04</v>
      </c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</row>
    <row r="746" spans="1:67" x14ac:dyDescent="0.55000000000000004">
      <c r="A746" s="30">
        <v>717</v>
      </c>
      <c r="B746" s="6" t="s">
        <v>602</v>
      </c>
      <c r="C746" s="18"/>
      <c r="D746" s="18"/>
      <c r="E746" s="18"/>
      <c r="F746" s="18"/>
      <c r="G746" s="18"/>
      <c r="H746" s="26">
        <f>HYPERLINK("[N&amp;P Old retention.xlsx]'Lake P Results'!AM292", 400)</f>
        <v>400</v>
      </c>
      <c r="I746" s="26">
        <f>HYPERLINK("[N&amp;P New retention.xlsx]'Lake P Results'!AM292", 300)</f>
        <v>300</v>
      </c>
      <c r="J746" s="26">
        <f>HYPERLINK("[N&amp;P with New retention and Differentiation.xlsx]'Lake P Results'!AM292", 300)</f>
        <v>300</v>
      </c>
      <c r="K746" s="21">
        <f>I746-H746</f>
        <v>-100</v>
      </c>
      <c r="L746" s="21">
        <f>J746-H746</f>
        <v>-100</v>
      </c>
      <c r="M746" s="27">
        <f>HYPERLINK("[N&amp;P Old retention.xlsx]'Lake P Results'!AC292", 32.1299998661402)</f>
        <v>32.129999866140203</v>
      </c>
      <c r="N746" s="27">
        <f>HYPERLINK("[N&amp;P New retention.xlsx]'Lake P Results'!AC292", 32.13)</f>
        <v>32.130000000000003</v>
      </c>
      <c r="O746" s="27">
        <f>HYPERLINK("[N&amp;P with New retention and Differentiation.xlsx]'Lake P Results'!AC292", 32.1300000479243)</f>
        <v>32.130000047924298</v>
      </c>
      <c r="P746" s="46">
        <f>N746-M746</f>
        <v>1.3385979968916217E-7</v>
      </c>
      <c r="Q746" s="46">
        <f>O746-M746</f>
        <v>1.8178409533220474E-7</v>
      </c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27">
        <f>HYPERLINK("[N&amp;P Old retention.xlsx]'Lake P Results'!O292", 0.052)</f>
        <v>5.1999999999999998E-2</v>
      </c>
      <c r="BB746" s="27">
        <f>HYPERLINK("[N&amp;P New retention.xlsx]'Lake P Results'!O292", 0.052)</f>
        <v>5.1999999999999998E-2</v>
      </c>
      <c r="BC746" s="27">
        <f>HYPERLINK("[N&amp;P with New retention and Differentiation.xlsx]'Lake P Results'!O292", 0.052)</f>
        <v>5.1999999999999998E-2</v>
      </c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</row>
    <row r="747" spans="1:67" x14ac:dyDescent="0.55000000000000004">
      <c r="A747" s="31">
        <v>718</v>
      </c>
      <c r="B747" s="5" t="s">
        <v>603</v>
      </c>
      <c r="C747" s="29">
        <f>HYPERLINK("[N&amp;P Old retention.xlsx]'Lake P Results'!AE293", 5.712)</f>
        <v>5.7119999999999997</v>
      </c>
      <c r="D747" s="29">
        <f>HYPERLINK("[N&amp;P New retention.xlsx]'Lake P Results'!AE293", 5.874)</f>
        <v>5.8739999999999997</v>
      </c>
      <c r="E747" s="29">
        <f>HYPERLINK("[N&amp;P with New retention and Differentiation.xlsx]'Lake P Results'!AE293", 5.772)</f>
        <v>5.7720000000000002</v>
      </c>
      <c r="F747" s="46">
        <f>D747-C747</f>
        <v>0.16199999999999992</v>
      </c>
      <c r="G747" s="46">
        <f>E747-C747</f>
        <v>6.0000000000000497E-2</v>
      </c>
      <c r="H747" s="28">
        <f>HYPERLINK("[N&amp;P Old retention.xlsx]'Lake P Results'!AM293", 7700)</f>
        <v>7700</v>
      </c>
      <c r="I747" s="28">
        <f>HYPERLINK("[N&amp;P New retention.xlsx]'Lake P Results'!AM293", 7500)</f>
        <v>7500</v>
      </c>
      <c r="J747" s="28">
        <f>HYPERLINK("[N&amp;P with New retention and Differentiation.xlsx]'Lake P Results'!AM293", 7600)</f>
        <v>7600</v>
      </c>
      <c r="K747" s="21">
        <f>I747-H747</f>
        <v>-200</v>
      </c>
      <c r="L747" s="21">
        <f>J747-H747</f>
        <v>-100</v>
      </c>
      <c r="M747" s="29">
        <f>HYPERLINK("[N&amp;P Old retention.xlsx]'Lake P Results'!AC293", 0.812)</f>
        <v>0.81200000000000006</v>
      </c>
      <c r="N747" s="13"/>
      <c r="O747" s="29">
        <f>HYPERLINK("[N&amp;P with New retention and Differentiation.xlsx]'Lake P Results'!AC293", 0.92)</f>
        <v>0.92</v>
      </c>
      <c r="P747" s="47">
        <f>N747-M747</f>
        <v>-0.81200000000000006</v>
      </c>
      <c r="Q747" s="46">
        <f>O747-M747</f>
        <v>0.10799999999999998</v>
      </c>
      <c r="R747" s="13"/>
      <c r="S747" s="29">
        <f>HYPERLINK("[N&amp;P New retention.xlsx]'Lake P Results'!Y293", 0.532)</f>
        <v>0.53200000000000003</v>
      </c>
      <c r="T747" s="13"/>
      <c r="U747" s="46">
        <f>S747-R747</f>
        <v>0.53200000000000003</v>
      </c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29">
        <f>HYPERLINK("[N&amp;P Old retention.xlsx]'Lake P Results'!AA293", 0.25)</f>
        <v>0.25</v>
      </c>
      <c r="AH747" s="13"/>
      <c r="AI747" s="29">
        <f>HYPERLINK("[N&amp;P with New retention and Differentiation.xlsx]'Lake P Results'!AA293", 0.25)</f>
        <v>0.25</v>
      </c>
      <c r="AJ747" s="47">
        <f>AH747-AG747</f>
        <v>-0.25</v>
      </c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29">
        <f>HYPERLINK("[N&amp;P Old retention.xlsx]'Lake P Results'!M293", 99.698)</f>
        <v>99.697999999999993</v>
      </c>
      <c r="AW747" s="29">
        <f>HYPERLINK("[N&amp;P New retention.xlsx]'Lake P Results'!M293", 30.538)</f>
        <v>30.538</v>
      </c>
      <c r="AX747" s="13"/>
      <c r="AY747" s="47">
        <f>AW747-AV747</f>
        <v>-69.16</v>
      </c>
      <c r="AZ747" s="47">
        <f>AX747-AV747</f>
        <v>-99.697999999999993</v>
      </c>
      <c r="BA747" s="29">
        <f>HYPERLINK("[N&amp;P Old retention.xlsx]'Lake P Results'!O293", 10.464)</f>
        <v>10.464</v>
      </c>
      <c r="BB747" s="29">
        <f>HYPERLINK("[N&amp;P New retention.xlsx]'Lake P Results'!O293", 8.374)</f>
        <v>8.3740000000000006</v>
      </c>
      <c r="BC747" s="29">
        <f>HYPERLINK("[N&amp;P with New retention and Differentiation.xlsx]'Lake P Results'!O293", 68.282)</f>
        <v>68.281999999999996</v>
      </c>
      <c r="BD747" s="47">
        <f>BB747-BA747</f>
        <v>-2.09</v>
      </c>
      <c r="BE747" s="46">
        <f>BC747-BA747</f>
        <v>57.817999999999998</v>
      </c>
      <c r="BF747" s="29">
        <f>HYPERLINK("[N&amp;P Old retention.xlsx]'Lake P Results'!R293", 200.376)</f>
        <v>200.376</v>
      </c>
      <c r="BG747" s="29">
        <f>HYPERLINK("[N&amp;P New retention.xlsx]'Lake P Results'!R293", 200.238)</f>
        <v>200.238</v>
      </c>
      <c r="BH747" s="29">
        <f>HYPERLINK("[N&amp;P with New retention and Differentiation.xlsx]'Lake P Results'!R293", 200.238)</f>
        <v>200.238</v>
      </c>
      <c r="BI747" s="47">
        <f>BG747-BF747</f>
        <v>-0.13800000000000523</v>
      </c>
      <c r="BJ747" s="47">
        <f>BH747-BF747</f>
        <v>-0.13800000000000523</v>
      </c>
      <c r="BK747" s="13"/>
      <c r="BL747" s="13"/>
      <c r="BM747" s="13"/>
      <c r="BN747" s="13"/>
      <c r="BO747" s="13"/>
    </row>
    <row r="748" spans="1:67" x14ac:dyDescent="0.55000000000000004">
      <c r="A748" s="30">
        <v>719</v>
      </c>
      <c r="B748" s="6" t="s">
        <v>604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</row>
    <row r="749" spans="1:67" x14ac:dyDescent="0.55000000000000004">
      <c r="A749" s="31">
        <v>720</v>
      </c>
      <c r="B749" s="5" t="s">
        <v>605</v>
      </c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29">
        <f>HYPERLINK("[N&amp;P Old retention.xlsx]'Lake P Results'!R295", 7.592)</f>
        <v>7.5919999999999996</v>
      </c>
      <c r="BG749" s="29">
        <f>HYPERLINK("[N&amp;P New retention.xlsx]'Lake P Results'!R295", 7.612)</f>
        <v>7.6120000000000001</v>
      </c>
      <c r="BH749" s="29">
        <f>HYPERLINK("[N&amp;P with New retention and Differentiation.xlsx]'Lake P Results'!R295", 7.682)</f>
        <v>7.6820000000000004</v>
      </c>
      <c r="BI749" s="46">
        <f>BG749-BF749</f>
        <v>2.0000000000000462E-2</v>
      </c>
      <c r="BJ749" s="46">
        <f>BH749-BF749</f>
        <v>9.0000000000000746E-2</v>
      </c>
      <c r="BK749" s="13"/>
      <c r="BL749" s="13"/>
      <c r="BM749" s="13"/>
      <c r="BN749" s="13"/>
      <c r="BO749" s="13"/>
    </row>
    <row r="750" spans="1:67" x14ac:dyDescent="0.55000000000000004">
      <c r="A750" s="30">
        <v>722</v>
      </c>
      <c r="B750" s="6" t="s">
        <v>606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</row>
    <row r="751" spans="1:67" x14ac:dyDescent="0.55000000000000004">
      <c r="A751" s="31">
        <v>723</v>
      </c>
      <c r="B751" s="5" t="s">
        <v>607</v>
      </c>
      <c r="C751" s="29">
        <f>HYPERLINK("[N&amp;P Old retention.xlsx]'Lake P Results'!AE297", 2.308)</f>
        <v>2.3079999999999998</v>
      </c>
      <c r="D751" s="29">
        <f>HYPERLINK("[N&amp;P New retention.xlsx]'Lake P Results'!AE297", 2.308)</f>
        <v>2.3079999999999998</v>
      </c>
      <c r="E751" s="29">
        <f>HYPERLINK("[N&amp;P with New retention and Differentiation.xlsx]'Lake P Results'!AE297", 2.308)</f>
        <v>2.3079999999999998</v>
      </c>
      <c r="F751" s="13"/>
      <c r="G751" s="13"/>
      <c r="H751" s="28">
        <f>HYPERLINK("[N&amp;P Old retention.xlsx]'Lake P Results'!AM297", 23200)</f>
        <v>23200</v>
      </c>
      <c r="I751" s="28">
        <f>HYPERLINK("[N&amp;P New retention.xlsx]'Lake P Results'!AM297", 23200)</f>
        <v>23200</v>
      </c>
      <c r="J751" s="28">
        <f>HYPERLINK("[N&amp;P with New retention and Differentiation.xlsx]'Lake P Results'!AM297", 23200)</f>
        <v>23200</v>
      </c>
      <c r="K751" s="13"/>
      <c r="L751" s="13"/>
      <c r="M751" s="13"/>
      <c r="N751" s="13"/>
      <c r="O751" s="29">
        <f>HYPERLINK("[N&amp;P with New retention and Differentiation.xlsx]'Lake P Results'!AC297", 1.83)</f>
        <v>1.83</v>
      </c>
      <c r="P751" s="13"/>
      <c r="Q751" s="46">
        <f>O751-M751</f>
        <v>1.83</v>
      </c>
      <c r="R751" s="29">
        <f>HYPERLINK("[N&amp;P Old retention.xlsx]'Lake P Results'!Y297", 45.248)</f>
        <v>45.247999999999998</v>
      </c>
      <c r="S751" s="29">
        <f>HYPERLINK("[N&amp;P New retention.xlsx]'Lake P Results'!Y297", 43.418)</f>
        <v>43.417999999999999</v>
      </c>
      <c r="T751" s="29">
        <f>HYPERLINK("[N&amp;P with New retention and Differentiation.xlsx]'Lake P Results'!Y297", 43.418)</f>
        <v>43.417999999999999</v>
      </c>
      <c r="U751" s="47">
        <f>S751-R751</f>
        <v>-1.8299999999999983</v>
      </c>
      <c r="V751" s="47">
        <f>T751-R751</f>
        <v>-1.8299999999999983</v>
      </c>
      <c r="W751" s="29">
        <f>HYPERLINK("[N&amp;P Old retention.xlsx]'Lake P Results'!V297", 13.74)</f>
        <v>13.74</v>
      </c>
      <c r="X751" s="29">
        <f>HYPERLINK("[N&amp;P New retention.xlsx]'Lake P Results'!V297", 13.74)</f>
        <v>13.74</v>
      </c>
      <c r="Y751" s="29">
        <f>HYPERLINK("[N&amp;P with New retention and Differentiation.xlsx]'Lake P Results'!V297", 13.74)</f>
        <v>13.74</v>
      </c>
      <c r="Z751" s="13"/>
      <c r="AA751" s="13"/>
      <c r="AB751" s="29">
        <f>HYPERLINK("[N&amp;P Old retention.xlsx]'Lake P Results'!Z297", 3.678)</f>
        <v>3.6779999999999999</v>
      </c>
      <c r="AC751" s="29">
        <f>HYPERLINK("[N&amp;P New retention.xlsx]'Lake P Results'!Z297", 5.508)</f>
        <v>5.508</v>
      </c>
      <c r="AD751" s="29">
        <f>HYPERLINK("[N&amp;P with New retention and Differentiation.xlsx]'Lake P Results'!Z297", 3.678)</f>
        <v>3.6779999999999999</v>
      </c>
      <c r="AE751" s="46">
        <f>AC751-AB751</f>
        <v>1.83</v>
      </c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28">
        <f>HYPERLINK("[N&amp;P Old retention.xlsx]'Lake P Results'!AH297", 210)</f>
        <v>210</v>
      </c>
      <c r="AR751" s="28">
        <f>HYPERLINK("[N&amp;P New retention.xlsx]'Lake P Results'!AH297", 210)</f>
        <v>210</v>
      </c>
      <c r="AS751" s="28">
        <f>HYPERLINK("[N&amp;P with New retention and Differentiation.xlsx]'Lake P Results'!AH297", 210)</f>
        <v>210</v>
      </c>
      <c r="AT751" s="13"/>
      <c r="AU751" s="13"/>
      <c r="AV751" s="29">
        <f>HYPERLINK("[N&amp;P Old retention.xlsx]'Lake P Results'!M297", 7.28)</f>
        <v>7.28</v>
      </c>
      <c r="AW751" s="29">
        <f>HYPERLINK("[N&amp;P New retention.xlsx]'Lake P Results'!M297", 76.08)</f>
        <v>76.08</v>
      </c>
      <c r="AX751" s="13"/>
      <c r="AY751" s="46">
        <f>AW751-AV751</f>
        <v>68.8</v>
      </c>
      <c r="AZ751" s="47">
        <f>AX751-AV751</f>
        <v>-7.28</v>
      </c>
      <c r="BA751" s="29">
        <f>HYPERLINK("[N&amp;P Old retention.xlsx]'Lake P Results'!O297", 131.124)</f>
        <v>131.124</v>
      </c>
      <c r="BB751" s="29">
        <f>HYPERLINK("[N&amp;P New retention.xlsx]'Lake P Results'!O297", 62.324)</f>
        <v>62.323999999999998</v>
      </c>
      <c r="BC751" s="29">
        <f>HYPERLINK("[N&amp;P with New retention and Differentiation.xlsx]'Lake P Results'!O297", 138.404)</f>
        <v>138.404</v>
      </c>
      <c r="BD751" s="47">
        <f>BB751-BA751</f>
        <v>-68.8</v>
      </c>
      <c r="BE751" s="46">
        <f>BC751-BA751</f>
        <v>7.2800000000000011</v>
      </c>
      <c r="BF751" s="29">
        <f>HYPERLINK("[N&amp;P Old retention.xlsx]'Lake P Results'!R297", 0.0079999999999999)</f>
        <v>7.9999999999998996E-3</v>
      </c>
      <c r="BG751" s="29">
        <f>HYPERLINK("[N&amp;P New retention.xlsx]'Lake P Results'!R297", 0.0079999999999999)</f>
        <v>7.9999999999998996E-3</v>
      </c>
      <c r="BH751" s="29">
        <f>HYPERLINK("[N&amp;P with New retention and Differentiation.xlsx]'Lake P Results'!R297", 0.0079999999999999)</f>
        <v>7.9999999999998996E-3</v>
      </c>
      <c r="BI751" s="13"/>
      <c r="BJ751" s="13"/>
      <c r="BK751" s="13"/>
      <c r="BL751" s="13"/>
      <c r="BM751" s="13"/>
      <c r="BN751" s="13"/>
      <c r="BO751" s="13"/>
    </row>
    <row r="752" spans="1:67" x14ac:dyDescent="0.55000000000000004">
      <c r="A752" s="30">
        <v>725</v>
      </c>
      <c r="B752" s="6" t="s">
        <v>608</v>
      </c>
      <c r="C752" s="18"/>
      <c r="D752" s="18"/>
      <c r="E752" s="18"/>
      <c r="F752" s="18"/>
      <c r="G752" s="18"/>
      <c r="H752" s="26">
        <f>HYPERLINK("[N&amp;P Old retention.xlsx]'Lake P Results'!AM298", 600)</f>
        <v>600</v>
      </c>
      <c r="I752" s="26">
        <f>HYPERLINK("[N&amp;P New retention.xlsx]'Lake P Results'!AM298", 600)</f>
        <v>600</v>
      </c>
      <c r="J752" s="26">
        <f>HYPERLINK("[N&amp;P with New retention and Differentiation.xlsx]'Lake P Results'!AM298", 600)</f>
        <v>600</v>
      </c>
      <c r="K752" s="18"/>
      <c r="L752" s="18"/>
      <c r="M752" s="27">
        <f>HYPERLINK("[N&amp;P Old retention.xlsx]'Lake P Results'!AC298", 29.342)</f>
        <v>29.341999999999999</v>
      </c>
      <c r="N752" s="27">
        <f>HYPERLINK("[N&amp;P New retention.xlsx]'Lake P Results'!AC298", 29.342)</f>
        <v>29.341999999999999</v>
      </c>
      <c r="O752" s="27">
        <f>HYPERLINK("[N&amp;P with New retention and Differentiation.xlsx]'Lake P Results'!AC298", 29.342)</f>
        <v>29.341999999999999</v>
      </c>
      <c r="P752" s="18"/>
      <c r="Q752" s="18"/>
      <c r="R752" s="18"/>
      <c r="S752" s="18"/>
      <c r="T752" s="18"/>
      <c r="U752" s="18"/>
      <c r="V752" s="18"/>
      <c r="W752" s="27">
        <f>HYPERLINK("[N&amp;P Old retention.xlsx]'Lake P Results'!V298", 8.17)</f>
        <v>8.17</v>
      </c>
      <c r="X752" s="27">
        <f>HYPERLINK("[N&amp;P New retention.xlsx]'Lake P Results'!V298", 8.17)</f>
        <v>8.17</v>
      </c>
      <c r="Y752" s="27">
        <f>HYPERLINK("[N&amp;P with New retention and Differentiation.xlsx]'Lake P Results'!V298", 8.17)</f>
        <v>8.17</v>
      </c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26">
        <f>HYPERLINK("[N&amp;P Old retention.xlsx]'Lake P Results'!AH298", 50)</f>
        <v>50</v>
      </c>
      <c r="AR752" s="26">
        <f>HYPERLINK("[N&amp;P New retention.xlsx]'Lake P Results'!AH298", 50)</f>
        <v>50</v>
      </c>
      <c r="AS752" s="26">
        <f>HYPERLINK("[N&amp;P with New retention and Differentiation.xlsx]'Lake P Results'!AH298", 50)</f>
        <v>50</v>
      </c>
      <c r="AT752" s="18"/>
      <c r="AU752" s="18"/>
      <c r="AV752" s="27">
        <f>HYPERLINK("[N&amp;P Old retention.xlsx]'Lake P Results'!M298", 50.04)</f>
        <v>50.04</v>
      </c>
      <c r="AW752" s="27">
        <f>HYPERLINK("[N&amp;P New retention.xlsx]'Lake P Results'!M298", 54.58)</f>
        <v>54.58</v>
      </c>
      <c r="AX752" s="18"/>
      <c r="AY752" s="46">
        <f>AW752-AV752</f>
        <v>4.5399999999999991</v>
      </c>
      <c r="AZ752" s="47">
        <f>AX752-AV752</f>
        <v>-50.04</v>
      </c>
      <c r="BA752" s="27">
        <f>HYPERLINK("[N&amp;P Old retention.xlsx]'Lake P Results'!O298", 10.864)</f>
        <v>10.864000000000001</v>
      </c>
      <c r="BB752" s="27">
        <f>HYPERLINK("[N&amp;P New retention.xlsx]'Lake P Results'!O298", 6.324)</f>
        <v>6.3239999999999998</v>
      </c>
      <c r="BC752" s="27">
        <f>HYPERLINK("[N&amp;P with New retention and Differentiation.xlsx]'Lake P Results'!O298", 60.904)</f>
        <v>60.904000000000003</v>
      </c>
      <c r="BD752" s="47">
        <f>BB752-BA752</f>
        <v>-4.5400000000000009</v>
      </c>
      <c r="BE752" s="46">
        <f>BC752-BA752</f>
        <v>50.040000000000006</v>
      </c>
      <c r="BF752" s="27">
        <f>HYPERLINK("[N&amp;P Old retention.xlsx]'Lake P Results'!R298", 0.024)</f>
        <v>2.4E-2</v>
      </c>
      <c r="BG752" s="27">
        <f>HYPERLINK("[N&amp;P New retention.xlsx]'Lake P Results'!R298", 0.024)</f>
        <v>2.4E-2</v>
      </c>
      <c r="BH752" s="27">
        <f>HYPERLINK("[N&amp;P with New retention and Differentiation.xlsx]'Lake P Results'!R298", 0.024)</f>
        <v>2.4E-2</v>
      </c>
      <c r="BI752" s="18"/>
      <c r="BJ752" s="18"/>
      <c r="BK752" s="18"/>
      <c r="BL752" s="18"/>
      <c r="BM752" s="18"/>
      <c r="BN752" s="18"/>
      <c r="BO752" s="18"/>
    </row>
    <row r="753" spans="1:67" x14ac:dyDescent="0.55000000000000004">
      <c r="A753" s="31">
        <v>726</v>
      </c>
      <c r="B753" s="5" t="s">
        <v>609</v>
      </c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29">
        <f>HYPERLINK("[N&amp;P Old retention.xlsx]'Lake P Results'!V299", 12.79)</f>
        <v>12.79</v>
      </c>
      <c r="X753" s="29">
        <f>HYPERLINK("[N&amp;P New retention.xlsx]'Lake P Results'!V299", 12.79)</f>
        <v>12.79</v>
      </c>
      <c r="Y753" s="29">
        <f>HYPERLINK("[N&amp;P with New retention and Differentiation.xlsx]'Lake P Results'!V299", 12.79)</f>
        <v>12.79</v>
      </c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28">
        <f>HYPERLINK("[N&amp;P Old retention.xlsx]'Lake P Results'!AH299", 20)</f>
        <v>20</v>
      </c>
      <c r="AR753" s="28">
        <f>HYPERLINK("[N&amp;P New retention.xlsx]'Lake P Results'!AH299", 20)</f>
        <v>20</v>
      </c>
      <c r="AS753" s="28">
        <f>HYPERLINK("[N&amp;P with New retention and Differentiation.xlsx]'Lake P Results'!AH299", 20)</f>
        <v>20</v>
      </c>
      <c r="AT753" s="13"/>
      <c r="AU753" s="13"/>
      <c r="AV753" s="29">
        <f>HYPERLINK("[N&amp;P Old retention.xlsx]'Lake P Results'!M299", 9.36)</f>
        <v>9.36</v>
      </c>
      <c r="AW753" s="13"/>
      <c r="AX753" s="13"/>
      <c r="AY753" s="47">
        <f>AW753-AV753</f>
        <v>-9.36</v>
      </c>
      <c r="AZ753" s="47">
        <f>AX753-AV753</f>
        <v>-9.36</v>
      </c>
      <c r="BA753" s="13"/>
      <c r="BB753" s="29">
        <f>HYPERLINK("[N&amp;P New retention.xlsx]'Lake P Results'!O299", 9.36)</f>
        <v>9.36</v>
      </c>
      <c r="BC753" s="29">
        <f>HYPERLINK("[N&amp;P with New retention and Differentiation.xlsx]'Lake P Results'!O299", 9.36)</f>
        <v>9.36</v>
      </c>
      <c r="BD753" s="46">
        <f>BB753-BA753</f>
        <v>9.36</v>
      </c>
      <c r="BE753" s="46">
        <f>BC753-BA753</f>
        <v>9.36</v>
      </c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</row>
    <row r="754" spans="1:67" x14ac:dyDescent="0.55000000000000004">
      <c r="A754" s="30">
        <v>727</v>
      </c>
      <c r="B754" s="6" t="s">
        <v>610</v>
      </c>
      <c r="C754" s="18"/>
      <c r="D754" s="18"/>
      <c r="E754" s="18"/>
      <c r="F754" s="18"/>
      <c r="G754" s="18"/>
      <c r="H754" s="26">
        <f>HYPERLINK("[N&amp;P Old retention.xlsx]'Lake P Results'!AM300", 500)</f>
        <v>500</v>
      </c>
      <c r="I754" s="26">
        <f>HYPERLINK("[N&amp;P New retention.xlsx]'Lake P Results'!AM300", 500)</f>
        <v>500</v>
      </c>
      <c r="J754" s="26">
        <f>HYPERLINK("[N&amp;P with New retention and Differentiation.xlsx]'Lake P Results'!AM300", 500)</f>
        <v>500</v>
      </c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26">
        <f>HYPERLINK("[N&amp;P Old retention.xlsx]'Lake P Results'!AH300", 20)</f>
        <v>20</v>
      </c>
      <c r="AR754" s="26">
        <f>HYPERLINK("[N&amp;P New retention.xlsx]'Lake P Results'!AH300", 20)</f>
        <v>20</v>
      </c>
      <c r="AS754" s="26">
        <f>HYPERLINK("[N&amp;P with New retention and Differentiation.xlsx]'Lake P Results'!AH300", 20)</f>
        <v>20</v>
      </c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</row>
    <row r="755" spans="1:67" x14ac:dyDescent="0.55000000000000004">
      <c r="A755" s="31">
        <v>729</v>
      </c>
      <c r="B755" s="5" t="s">
        <v>611</v>
      </c>
      <c r="C755" s="29">
        <f>HYPERLINK("[N&amp;P Old retention.xlsx]'Lake P Results'!AE301", 0.46)</f>
        <v>0.46</v>
      </c>
      <c r="D755" s="29">
        <f>HYPERLINK("[N&amp;P New retention.xlsx]'Lake P Results'!AE301", 0.46)</f>
        <v>0.46</v>
      </c>
      <c r="E755" s="29">
        <f>HYPERLINK("[N&amp;P with New retention and Differentiation.xlsx]'Lake P Results'!AE301", 0.46)</f>
        <v>0.46</v>
      </c>
      <c r="F755" s="13"/>
      <c r="G755" s="13"/>
      <c r="H755" s="28">
        <f>HYPERLINK("[N&amp;P Old retention.xlsx]'Lake P Results'!AM301", 7600)</f>
        <v>7600</v>
      </c>
      <c r="I755" s="28">
        <f>HYPERLINK("[N&amp;P New retention.xlsx]'Lake P Results'!AM301", 7600)</f>
        <v>7600</v>
      </c>
      <c r="J755" s="28">
        <f>HYPERLINK("[N&amp;P with New retention and Differentiation.xlsx]'Lake P Results'!AM301", 7600)</f>
        <v>7600</v>
      </c>
      <c r="K755" s="13"/>
      <c r="L755" s="13"/>
      <c r="M755" s="29">
        <f>HYPERLINK("[N&amp;P Old retention.xlsx]'Lake P Results'!AC301", 113.016)</f>
        <v>113.01600000000001</v>
      </c>
      <c r="N755" s="29">
        <f>HYPERLINK("[N&amp;P New retention.xlsx]'Lake P Results'!AC301", 71.206)</f>
        <v>71.206000000000003</v>
      </c>
      <c r="O755" s="29">
        <f>HYPERLINK("[N&amp;P with New retention and Differentiation.xlsx]'Lake P Results'!AC301", 66.566)</f>
        <v>66.566000000000003</v>
      </c>
      <c r="P755" s="47">
        <f>N755-M755</f>
        <v>-41.81</v>
      </c>
      <c r="Q755" s="47">
        <f>O755-M755</f>
        <v>-46.45</v>
      </c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29">
        <f>HYPERLINK("[N&amp;P Old retention.xlsx]'Lake P Results'!Z301", 14.85)</f>
        <v>14.85</v>
      </c>
      <c r="AC755" s="29">
        <f>HYPERLINK("[N&amp;P New retention.xlsx]'Lake P Results'!Z301", 14.85)</f>
        <v>14.85</v>
      </c>
      <c r="AD755" s="29">
        <f>HYPERLINK("[N&amp;P with New retention and Differentiation.xlsx]'Lake P Results'!Z301", 14.85)</f>
        <v>14.85</v>
      </c>
      <c r="AE755" s="13"/>
      <c r="AF755" s="13"/>
      <c r="AG755" s="13"/>
      <c r="AH755" s="13"/>
      <c r="AI755" s="13"/>
      <c r="AJ755" s="13"/>
      <c r="AK755" s="13"/>
      <c r="AL755" s="29">
        <f>HYPERLINK("[N&amp;P Old retention.xlsx]'Lake P Results'!AF301", 0.14)</f>
        <v>0.14000000000000001</v>
      </c>
      <c r="AM755" s="29">
        <f>HYPERLINK("[N&amp;P New retention.xlsx]'Lake P Results'!AF301", 0.14)</f>
        <v>0.14000000000000001</v>
      </c>
      <c r="AN755" s="29">
        <f>HYPERLINK("[N&amp;P with New retention and Differentiation.xlsx]'Lake P Results'!AF301", 0.14)</f>
        <v>0.14000000000000001</v>
      </c>
      <c r="AO755" s="13"/>
      <c r="AP755" s="13"/>
      <c r="AQ755" s="28">
        <f>HYPERLINK("[N&amp;P Old retention.xlsx]'Lake P Results'!AH301", 320)</f>
        <v>320</v>
      </c>
      <c r="AR755" s="28">
        <f>HYPERLINK("[N&amp;P New retention.xlsx]'Lake P Results'!AH301", 320)</f>
        <v>320</v>
      </c>
      <c r="AS755" s="28">
        <f>HYPERLINK("[N&amp;P with New retention and Differentiation.xlsx]'Lake P Results'!AH301", 320)</f>
        <v>320</v>
      </c>
      <c r="AT755" s="13"/>
      <c r="AU755" s="13"/>
      <c r="AV755" s="29">
        <f>HYPERLINK("[N&amp;P Old retention.xlsx]'Lake P Results'!M301", 203.79)</f>
        <v>203.79</v>
      </c>
      <c r="AW755" s="29">
        <f>HYPERLINK("[N&amp;P New retention.xlsx]'Lake P Results'!M301", 244.78)</f>
        <v>244.78</v>
      </c>
      <c r="AX755" s="13"/>
      <c r="AY755" s="46">
        <f>AW755-AV755</f>
        <v>40.990000000000009</v>
      </c>
      <c r="AZ755" s="47">
        <f>AX755-AV755</f>
        <v>-203.79</v>
      </c>
      <c r="BA755" s="29">
        <f>HYPERLINK("[N&amp;P Old retention.xlsx]'Lake P Results'!O301", 4.348)</f>
        <v>4.3479999999999999</v>
      </c>
      <c r="BB755" s="29">
        <f>HYPERLINK("[N&amp;P New retention.xlsx]'Lake P Results'!O301", 5.078)</f>
        <v>5.0780000000000003</v>
      </c>
      <c r="BC755" s="29">
        <f>HYPERLINK("[N&amp;P with New retention and Differentiation.xlsx]'Lake P Results'!O301", 254.498)</f>
        <v>254.49799999999999</v>
      </c>
      <c r="BD755" s="46">
        <f>BB755-BA755</f>
        <v>0.73000000000000043</v>
      </c>
      <c r="BE755" s="46">
        <f>BC755-BA755</f>
        <v>250.14999999999998</v>
      </c>
      <c r="BF755" s="29">
        <f>HYPERLINK("[N&amp;P Old retention.xlsx]'Lake P Results'!R301", 0.0099999999999999)</f>
        <v>9.9999999999998996E-3</v>
      </c>
      <c r="BG755" s="13"/>
      <c r="BH755" s="13"/>
      <c r="BI755" s="47">
        <f>BG755-BF755</f>
        <v>-9.9999999999998996E-3</v>
      </c>
      <c r="BJ755" s="47">
        <f>BH755-BF755</f>
        <v>-9.9999999999998996E-3</v>
      </c>
      <c r="BK755" s="13"/>
      <c r="BL755" s="13"/>
      <c r="BM755" s="13"/>
      <c r="BN755" s="13"/>
      <c r="BO755" s="13"/>
    </row>
    <row r="756" spans="1:67" x14ac:dyDescent="0.55000000000000004">
      <c r="A756" s="30">
        <v>730</v>
      </c>
      <c r="B756" s="6" t="s">
        <v>612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</row>
    <row r="757" spans="1:67" x14ac:dyDescent="0.55000000000000004">
      <c r="A757" s="31">
        <v>732</v>
      </c>
      <c r="B757" s="5" t="s">
        <v>613</v>
      </c>
      <c r="C757" s="13"/>
      <c r="D757" s="13"/>
      <c r="E757" s="13"/>
      <c r="F757" s="13"/>
      <c r="G757" s="13"/>
      <c r="H757" s="28">
        <f>HYPERLINK("[N&amp;P Old retention.xlsx]'Lake P Results'!AM303", 2800)</f>
        <v>2800</v>
      </c>
      <c r="I757" s="28">
        <f>HYPERLINK("[N&amp;P New retention.xlsx]'Lake P Results'!AM303", 2200)</f>
        <v>2200</v>
      </c>
      <c r="J757" s="28">
        <f>HYPERLINK("[N&amp;P with New retention and Differentiation.xlsx]'Lake P Results'!AM303", 1700)</f>
        <v>1700</v>
      </c>
      <c r="K757" s="21">
        <f>I757-H757</f>
        <v>-600</v>
      </c>
      <c r="L757" s="21">
        <f>J757-H757</f>
        <v>-1100</v>
      </c>
      <c r="M757" s="29">
        <f>HYPERLINK("[N&amp;P Old retention.xlsx]'Lake P Results'!AC303", 167.31)</f>
        <v>167.31</v>
      </c>
      <c r="N757" s="29">
        <f>HYPERLINK("[N&amp;P New retention.xlsx]'Lake P Results'!AC303", 36.58)</f>
        <v>36.58</v>
      </c>
      <c r="O757" s="29">
        <f>HYPERLINK("[N&amp;P with New retention and Differentiation.xlsx]'Lake P Results'!AC303", 75.42)</f>
        <v>75.42</v>
      </c>
      <c r="P757" s="47">
        <f>N757-M757</f>
        <v>-130.73000000000002</v>
      </c>
      <c r="Q757" s="47">
        <f>O757-M757</f>
        <v>-91.89</v>
      </c>
      <c r="R757" s="13"/>
      <c r="S757" s="29">
        <f>HYPERLINK("[N&amp;P New retention.xlsx]'Lake P Results'!Y303", 21.16)</f>
        <v>21.16</v>
      </c>
      <c r="T757" s="13"/>
      <c r="U757" s="46">
        <f>S757-R757</f>
        <v>21.16</v>
      </c>
      <c r="V757" s="13"/>
      <c r="W757" s="13"/>
      <c r="X757" s="29">
        <f>HYPERLINK("[N&amp;P New retention.xlsx]'Lake P Results'!V303", 14.83)</f>
        <v>14.83</v>
      </c>
      <c r="Y757" s="13"/>
      <c r="Z757" s="46">
        <f>X757-W757</f>
        <v>14.83</v>
      </c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28">
        <f>HYPERLINK("[N&amp;P Old retention.xlsx]'Lake P Results'!AH303", 100)</f>
        <v>100</v>
      </c>
      <c r="AR757" s="28">
        <f>HYPERLINK("[N&amp;P New retention.xlsx]'Lake P Results'!AH303", 149.999999973392)</f>
        <v>149.99999997339199</v>
      </c>
      <c r="AS757" s="28">
        <f>HYPERLINK("[N&amp;P with New retention and Differentiation.xlsx]'Lake P Results'!AH303", 149.999999973392)</f>
        <v>149.99999997339199</v>
      </c>
      <c r="AT757" s="16">
        <f>AR757-AQ757</f>
        <v>49.999999973391994</v>
      </c>
      <c r="AU757" s="16">
        <f>AS757-AQ757</f>
        <v>49.999999973391994</v>
      </c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29">
        <f>HYPERLINK("[N&amp;P Old retention.xlsx]'Lake P Results'!R303", 0.62)</f>
        <v>0.62</v>
      </c>
      <c r="BG757" s="29">
        <f>HYPERLINK("[N&amp;P New retention.xlsx]'Lake P Results'!R303", 0.62)</f>
        <v>0.62</v>
      </c>
      <c r="BH757" s="29">
        <f>HYPERLINK("[N&amp;P with New retention and Differentiation.xlsx]'Lake P Results'!R303", 0.62)</f>
        <v>0.62</v>
      </c>
      <c r="BI757" s="13"/>
      <c r="BJ757" s="13"/>
      <c r="BK757" s="13"/>
      <c r="BL757" s="13"/>
      <c r="BM757" s="13"/>
      <c r="BN757" s="13"/>
      <c r="BO757" s="13"/>
    </row>
    <row r="758" spans="1:67" x14ac:dyDescent="0.55000000000000004">
      <c r="A758" s="30">
        <v>736</v>
      </c>
      <c r="B758" s="6" t="s">
        <v>614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27">
        <f>HYPERLINK("[N&amp;P Old retention.xlsx]'Lake P Results'!O304", 13.322)</f>
        <v>13.321999999999999</v>
      </c>
      <c r="BB758" s="27">
        <f>HYPERLINK("[N&amp;P New retention.xlsx]'Lake P Results'!O304", 4.33)</f>
        <v>4.33</v>
      </c>
      <c r="BC758" s="27">
        <f>HYPERLINK("[N&amp;P with New retention and Differentiation.xlsx]'Lake P Results'!O304", 4.33)</f>
        <v>4.33</v>
      </c>
      <c r="BD758" s="47">
        <f>BB758-BA758</f>
        <v>-8.9919999999999991</v>
      </c>
      <c r="BE758" s="47">
        <f>BC758-BA758</f>
        <v>-8.9919999999999991</v>
      </c>
      <c r="BF758" s="27">
        <f>HYPERLINK("[N&amp;P Old retention.xlsx]'Lake P Results'!R304", 0.02)</f>
        <v>0.02</v>
      </c>
      <c r="BG758" s="27">
        <f>HYPERLINK("[N&amp;P New retention.xlsx]'Lake P Results'!R304", 0.02)</f>
        <v>0.02</v>
      </c>
      <c r="BH758" s="27">
        <f>HYPERLINK("[N&amp;P with New retention and Differentiation.xlsx]'Lake P Results'!R304", 0.02)</f>
        <v>0.02</v>
      </c>
      <c r="BI758" s="18"/>
      <c r="BJ758" s="18"/>
      <c r="BK758" s="18"/>
      <c r="BL758" s="27">
        <f>HYPERLINK("[N&amp;P New retention.xlsx]'Lake P Results'!Q304", 0.99)</f>
        <v>0.99</v>
      </c>
      <c r="BM758" s="27">
        <f>HYPERLINK("[N&amp;P with New retention and Differentiation.xlsx]'Lake P Results'!Q304", 0.99)</f>
        <v>0.99</v>
      </c>
      <c r="BN758" s="46">
        <f>BL758-BK758</f>
        <v>0.99</v>
      </c>
      <c r="BO758" s="46">
        <f>BM758-BK758</f>
        <v>0.99</v>
      </c>
    </row>
    <row r="759" spans="1:67" x14ac:dyDescent="0.55000000000000004">
      <c r="A759" s="31">
        <v>739</v>
      </c>
      <c r="B759" s="5" t="s">
        <v>615</v>
      </c>
      <c r="C759" s="13"/>
      <c r="D759" s="13"/>
      <c r="E759" s="13"/>
      <c r="F759" s="13"/>
      <c r="G759" s="13"/>
      <c r="H759" s="28">
        <f>HYPERLINK("[N&amp;P Old retention.xlsx]'Lake P Results'!AM305", 5900)</f>
        <v>5900</v>
      </c>
      <c r="I759" s="28">
        <f>HYPERLINK("[N&amp;P New retention.xlsx]'Lake P Results'!AM305", 5900)</f>
        <v>5900</v>
      </c>
      <c r="J759" s="28">
        <f>HYPERLINK("[N&amp;P with New retention and Differentiation.xlsx]'Lake P Results'!AM305", 5900)</f>
        <v>5900</v>
      </c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</row>
    <row r="760" spans="1:67" x14ac:dyDescent="0.55000000000000004">
      <c r="A760" s="30">
        <v>740</v>
      </c>
      <c r="B760" s="6" t="s">
        <v>616</v>
      </c>
      <c r="C760" s="18"/>
      <c r="D760" s="18"/>
      <c r="E760" s="18"/>
      <c r="F760" s="18"/>
      <c r="G760" s="18"/>
      <c r="H760" s="26">
        <f>HYPERLINK("[N&amp;P Old retention.xlsx]'Lake P Results'!AM306", 1000)</f>
        <v>1000</v>
      </c>
      <c r="I760" s="26">
        <f>HYPERLINK("[N&amp;P New retention.xlsx]'Lake P Results'!AM306", 1000)</f>
        <v>1000</v>
      </c>
      <c r="J760" s="26">
        <f>HYPERLINK("[N&amp;P with New retention and Differentiation.xlsx]'Lake P Results'!AM306", 1000)</f>
        <v>1000</v>
      </c>
      <c r="K760" s="18"/>
      <c r="L760" s="18"/>
      <c r="M760" s="18"/>
      <c r="N760" s="18"/>
      <c r="O760" s="18"/>
      <c r="P760" s="18"/>
      <c r="Q760" s="18"/>
      <c r="R760" s="27">
        <f>HYPERLINK("[N&amp;P Old retention.xlsx]'Lake P Results'!Y306", 1.816)</f>
        <v>1.8160000000000001</v>
      </c>
      <c r="S760" s="27">
        <f>HYPERLINK("[N&amp;P New retention.xlsx]'Lake P Results'!Y306", 1.816)</f>
        <v>1.8160000000000001</v>
      </c>
      <c r="T760" s="27">
        <f>HYPERLINK("[N&amp;P with New retention and Differentiation.xlsx]'Lake P Results'!Y306", 1.816)</f>
        <v>1.8160000000000001</v>
      </c>
      <c r="U760" s="18"/>
      <c r="V760" s="18"/>
      <c r="W760" s="27">
        <f>HYPERLINK("[N&amp;P Old retention.xlsx]'Lake P Results'!V306", 4.99)</f>
        <v>4.99</v>
      </c>
      <c r="X760" s="27">
        <f>HYPERLINK("[N&amp;P New retention.xlsx]'Lake P Results'!V306", 4.99)</f>
        <v>4.99</v>
      </c>
      <c r="Y760" s="27">
        <f>HYPERLINK("[N&amp;P with New retention and Differentiation.xlsx]'Lake P Results'!V306", 4.99)</f>
        <v>4.99</v>
      </c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26">
        <f>HYPERLINK("[N&amp;P Old retention.xlsx]'Lake P Results'!AH306", 50)</f>
        <v>50</v>
      </c>
      <c r="AR760" s="26">
        <f>HYPERLINK("[N&amp;P New retention.xlsx]'Lake P Results'!AH306", 50)</f>
        <v>50</v>
      </c>
      <c r="AS760" s="26">
        <f>HYPERLINK("[N&amp;P with New retention and Differentiation.xlsx]'Lake P Results'!AH306", 50)</f>
        <v>50</v>
      </c>
      <c r="AT760" s="18"/>
      <c r="AU760" s="18"/>
      <c r="AV760" s="18"/>
      <c r="AW760" s="18"/>
      <c r="AX760" s="18"/>
      <c r="AY760" s="18"/>
      <c r="AZ760" s="18"/>
      <c r="BA760" s="27">
        <f>HYPERLINK("[N&amp;P Old retention.xlsx]'Lake P Results'!O306", 99.926)</f>
        <v>99.926000000000002</v>
      </c>
      <c r="BB760" s="27">
        <f>HYPERLINK("[N&amp;P New retention.xlsx]'Lake P Results'!O306", 99.926)</f>
        <v>99.926000000000002</v>
      </c>
      <c r="BC760" s="27">
        <f>HYPERLINK("[N&amp;P with New retention and Differentiation.xlsx]'Lake P Results'!O306", 99.926)</f>
        <v>99.926000000000002</v>
      </c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</row>
    <row r="761" spans="1:67" x14ac:dyDescent="0.55000000000000004">
      <c r="A761" s="31">
        <v>741</v>
      </c>
      <c r="B761" s="5" t="s">
        <v>617</v>
      </c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</row>
    <row r="762" spans="1:67" x14ac:dyDescent="0.55000000000000004">
      <c r="A762" s="30">
        <v>742</v>
      </c>
      <c r="B762" s="6" t="s">
        <v>618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</row>
    <row r="763" spans="1:67" x14ac:dyDescent="0.55000000000000004">
      <c r="A763" s="31">
        <v>744</v>
      </c>
      <c r="B763" s="5" t="s">
        <v>619</v>
      </c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29">
        <f>HYPERLINK("[N&amp;P Old retention.xlsx]'Lake P Results'!R309", 0.11)</f>
        <v>0.11</v>
      </c>
      <c r="BG763" s="29">
        <f>HYPERLINK("[N&amp;P New retention.xlsx]'Lake P Results'!R309", 0.11)</f>
        <v>0.11</v>
      </c>
      <c r="BH763" s="29">
        <f>HYPERLINK("[N&amp;P with New retention and Differentiation.xlsx]'Lake P Results'!R309", 0.11)</f>
        <v>0.11</v>
      </c>
      <c r="BI763" s="13"/>
      <c r="BJ763" s="13"/>
      <c r="BK763" s="13"/>
      <c r="BL763" s="29">
        <f>HYPERLINK("[N&amp;P New retention.xlsx]'Lake P Results'!Q309", 1)</f>
        <v>1</v>
      </c>
      <c r="BM763" s="29">
        <f>HYPERLINK("[N&amp;P with New retention and Differentiation.xlsx]'Lake P Results'!Q309", 1)</f>
        <v>1</v>
      </c>
      <c r="BN763" s="46">
        <f>BL763-BK763</f>
        <v>1</v>
      </c>
      <c r="BO763" s="46">
        <f>BM763-BK763</f>
        <v>1</v>
      </c>
    </row>
    <row r="764" spans="1:67" x14ac:dyDescent="0.55000000000000004">
      <c r="A764" s="30">
        <v>745</v>
      </c>
      <c r="B764" s="6" t="s">
        <v>620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</row>
    <row r="765" spans="1:67" x14ac:dyDescent="0.55000000000000004">
      <c r="A765" s="31">
        <v>746</v>
      </c>
      <c r="B765" s="5" t="s">
        <v>621</v>
      </c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</row>
    <row r="766" spans="1:67" x14ac:dyDescent="0.55000000000000004">
      <c r="A766" s="30">
        <v>748</v>
      </c>
      <c r="B766" s="6" t="s">
        <v>622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</row>
    <row r="767" spans="1:67" x14ac:dyDescent="0.55000000000000004">
      <c r="A767" s="31">
        <v>749</v>
      </c>
      <c r="B767" s="5" t="s">
        <v>623</v>
      </c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</row>
    <row r="768" spans="1:67" x14ac:dyDescent="0.55000000000000004">
      <c r="A768" s="30">
        <v>751</v>
      </c>
      <c r="B768" s="6" t="s">
        <v>624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27">
        <f>HYPERLINK("[N&amp;P Old retention.xlsx]'Lake P Results'!R314", 0.28)</f>
        <v>0.28000000000000003</v>
      </c>
      <c r="BG768" s="27">
        <f>HYPERLINK("[N&amp;P New retention.xlsx]'Lake P Results'!R314", 0.28)</f>
        <v>0.28000000000000003</v>
      </c>
      <c r="BH768" s="27">
        <f>HYPERLINK("[N&amp;P with New retention and Differentiation.xlsx]'Lake P Results'!R314", 0.28)</f>
        <v>0.28000000000000003</v>
      </c>
      <c r="BI768" s="18"/>
      <c r="BJ768" s="18"/>
      <c r="BK768" s="27">
        <f>HYPERLINK("[N&amp;P Old retention.xlsx]'Lake P Results'!Q314", 0.59)</f>
        <v>0.59</v>
      </c>
      <c r="BL768" s="27">
        <f>HYPERLINK("[N&amp;P New retention.xlsx]'Lake P Results'!Q314", 0.59)</f>
        <v>0.59</v>
      </c>
      <c r="BM768" s="27">
        <f>HYPERLINK("[N&amp;P with New retention and Differentiation.xlsx]'Lake P Results'!Q314", 0.59)</f>
        <v>0.59</v>
      </c>
      <c r="BN768" s="18"/>
      <c r="BO768" s="18"/>
    </row>
    <row r="769" spans="1:67" x14ac:dyDescent="0.55000000000000004">
      <c r="A769" s="31">
        <v>752</v>
      </c>
      <c r="B769" s="5" t="s">
        <v>625</v>
      </c>
      <c r="C769" s="29">
        <f>HYPERLINK("[N&amp;P Old retention.xlsx]'Lake P Results'!AE315", 0.162)</f>
        <v>0.16200000000000001</v>
      </c>
      <c r="D769" s="29">
        <f>HYPERLINK("[N&amp;P New retention.xlsx]'Lake P Results'!AE315", 0.162)</f>
        <v>0.16200000000000001</v>
      </c>
      <c r="E769" s="29">
        <f>HYPERLINK("[N&amp;P with New retention and Differentiation.xlsx]'Lake P Results'!AE315", 0.162)</f>
        <v>0.16200000000000001</v>
      </c>
      <c r="F769" s="13"/>
      <c r="G769" s="13"/>
      <c r="H769" s="28">
        <f>HYPERLINK("[N&amp;P Old retention.xlsx]'Lake P Results'!AM315", 10900)</f>
        <v>10900</v>
      </c>
      <c r="I769" s="28">
        <f>HYPERLINK("[N&amp;P New retention.xlsx]'Lake P Results'!AM315", 10900)</f>
        <v>10900</v>
      </c>
      <c r="J769" s="28">
        <f>HYPERLINK("[N&amp;P with New retention and Differentiation.xlsx]'Lake P Results'!AM315", 10900)</f>
        <v>10900</v>
      </c>
      <c r="K769" s="13"/>
      <c r="L769" s="13"/>
      <c r="M769" s="13"/>
      <c r="N769" s="13"/>
      <c r="O769" s="13"/>
      <c r="P769" s="13"/>
      <c r="Q769" s="13"/>
      <c r="R769" s="29">
        <f>HYPERLINK("[N&amp;P Old retention.xlsx]'Lake P Results'!Y315", 23.73)</f>
        <v>23.73</v>
      </c>
      <c r="S769" s="29">
        <f>HYPERLINK("[N&amp;P New retention.xlsx]'Lake P Results'!Y315", 23.73)</f>
        <v>23.73</v>
      </c>
      <c r="T769" s="29">
        <f>HYPERLINK("[N&amp;P with New retention and Differentiation.xlsx]'Lake P Results'!Y315", 23.73)</f>
        <v>23.73</v>
      </c>
      <c r="U769" s="13"/>
      <c r="V769" s="13"/>
      <c r="W769" s="29">
        <f>HYPERLINK("[N&amp;P Old retention.xlsx]'Lake P Results'!V315", 2.37)</f>
        <v>2.37</v>
      </c>
      <c r="X769" s="29">
        <f>HYPERLINK("[N&amp;P New retention.xlsx]'Lake P Results'!V315", 2.37)</f>
        <v>2.37</v>
      </c>
      <c r="Y769" s="29">
        <f>HYPERLINK("[N&amp;P with New retention and Differentiation.xlsx]'Lake P Results'!V315", 2.37)</f>
        <v>2.37</v>
      </c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28">
        <f>HYPERLINK("[N&amp;P Old retention.xlsx]'Lake P Results'!AH315", 279.999999999973)</f>
        <v>279.999999999973</v>
      </c>
      <c r="AR769" s="28">
        <f>HYPERLINK("[N&amp;P New retention.xlsx]'Lake P Results'!AH315", 279.999999999973)</f>
        <v>279.999999999973</v>
      </c>
      <c r="AS769" s="28">
        <f>HYPERLINK("[N&amp;P with New retention and Differentiation.xlsx]'Lake P Results'!AH315", 279.999999999973)</f>
        <v>279.999999999973</v>
      </c>
      <c r="AT769" s="13"/>
      <c r="AU769" s="13"/>
      <c r="AV769" s="13"/>
      <c r="AW769" s="13"/>
      <c r="AX769" s="13"/>
      <c r="AY769" s="13"/>
      <c r="AZ769" s="13"/>
      <c r="BA769" s="29">
        <f>HYPERLINK("[N&amp;P Old retention.xlsx]'Lake P Results'!O315", 228.216)</f>
        <v>228.21600000000001</v>
      </c>
      <c r="BB769" s="29">
        <f>HYPERLINK("[N&amp;P New retention.xlsx]'Lake P Results'!O315", 228.216)</f>
        <v>228.21600000000001</v>
      </c>
      <c r="BC769" s="29">
        <f>HYPERLINK("[N&amp;P with New retention and Differentiation.xlsx]'Lake P Results'!O315", 228.216)</f>
        <v>228.21600000000001</v>
      </c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</row>
    <row r="770" spans="1:67" x14ac:dyDescent="0.55000000000000004">
      <c r="A770" s="30">
        <v>754</v>
      </c>
      <c r="B770" s="6" t="s">
        <v>626</v>
      </c>
      <c r="C770" s="18"/>
      <c r="D770" s="18"/>
      <c r="E770" s="18"/>
      <c r="F770" s="18"/>
      <c r="G770" s="18"/>
      <c r="H770" s="26">
        <f>HYPERLINK("[N&amp;P Old retention.xlsx]'Lake P Results'!AM316", 12300)</f>
        <v>12300</v>
      </c>
      <c r="I770" s="26">
        <f>HYPERLINK("[N&amp;P New retention.xlsx]'Lake P Results'!AM316", 12300)</f>
        <v>12300</v>
      </c>
      <c r="J770" s="26">
        <f>HYPERLINK("[N&amp;P with New retention and Differentiation.xlsx]'Lake P Results'!AM316", 12300)</f>
        <v>12300</v>
      </c>
      <c r="K770" s="18"/>
      <c r="L770" s="18"/>
      <c r="M770" s="18"/>
      <c r="N770" s="18"/>
      <c r="O770" s="18"/>
      <c r="P770" s="18"/>
      <c r="Q770" s="18"/>
      <c r="R770" s="27">
        <f>HYPERLINK("[N&amp;P Old retention.xlsx]'Lake P Results'!Y316", 17.854)</f>
        <v>17.853999999999999</v>
      </c>
      <c r="S770" s="27">
        <f>HYPERLINK("[N&amp;P New retention.xlsx]'Lake P Results'!Y316", 17.854)</f>
        <v>17.853999999999999</v>
      </c>
      <c r="T770" s="27">
        <f>HYPERLINK("[N&amp;P with New retention and Differentiation.xlsx]'Lake P Results'!Y316", 17.854)</f>
        <v>17.853999999999999</v>
      </c>
      <c r="U770" s="18"/>
      <c r="V770" s="18"/>
      <c r="W770" s="27">
        <f>HYPERLINK("[N&amp;P Old retention.xlsx]'Lake P Results'!V316", 5.89)</f>
        <v>5.89</v>
      </c>
      <c r="X770" s="27">
        <f>HYPERLINK("[N&amp;P New retention.xlsx]'Lake P Results'!V316", 5.89)</f>
        <v>5.89</v>
      </c>
      <c r="Y770" s="27">
        <f>HYPERLINK("[N&amp;P with New retention and Differentiation.xlsx]'Lake P Results'!V316", 5.89)</f>
        <v>5.89</v>
      </c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26">
        <f>HYPERLINK("[N&amp;P Old retention.xlsx]'Lake P Results'!AH316", 150)</f>
        <v>150</v>
      </c>
      <c r="AR770" s="26">
        <f>HYPERLINK("[N&amp;P New retention.xlsx]'Lake P Results'!AH316", 150)</f>
        <v>150</v>
      </c>
      <c r="AS770" s="26">
        <f>HYPERLINK("[N&amp;P with New retention and Differentiation.xlsx]'Lake P Results'!AH316", 150)</f>
        <v>150</v>
      </c>
      <c r="AT770" s="18"/>
      <c r="AU770" s="18"/>
      <c r="AV770" s="18"/>
      <c r="AW770" s="18"/>
      <c r="AX770" s="18"/>
      <c r="AY770" s="18"/>
      <c r="AZ770" s="18"/>
      <c r="BA770" s="27">
        <f>HYPERLINK("[N&amp;P Old retention.xlsx]'Lake P Results'!O316", 84.342)</f>
        <v>84.341999999999999</v>
      </c>
      <c r="BB770" s="27">
        <f>HYPERLINK("[N&amp;P New retention.xlsx]'Lake P Results'!O316", 84.342)</f>
        <v>84.341999999999999</v>
      </c>
      <c r="BC770" s="27">
        <f>HYPERLINK("[N&amp;P with New retention and Differentiation.xlsx]'Lake P Results'!O316", 84.342)</f>
        <v>84.341999999999999</v>
      </c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</row>
    <row r="771" spans="1:67" x14ac:dyDescent="0.55000000000000004">
      <c r="A771" s="31">
        <v>756</v>
      </c>
      <c r="B771" s="5" t="s">
        <v>627</v>
      </c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</row>
    <row r="772" spans="1:67" x14ac:dyDescent="0.55000000000000004">
      <c r="A772" s="30">
        <v>757</v>
      </c>
      <c r="B772" s="6" t="s">
        <v>628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</row>
    <row r="773" spans="1:67" x14ac:dyDescent="0.55000000000000004">
      <c r="A773" s="31">
        <v>758</v>
      </c>
      <c r="B773" s="5" t="s">
        <v>629</v>
      </c>
      <c r="C773" s="29">
        <f>HYPERLINK("[N&amp;P Old retention.xlsx]'Lake P Results'!AE319", 1.25)</f>
        <v>1.25</v>
      </c>
      <c r="D773" s="29">
        <f>HYPERLINK("[N&amp;P New retention.xlsx]'Lake P Results'!AE319", 1.25)</f>
        <v>1.25</v>
      </c>
      <c r="E773" s="29">
        <f>HYPERLINK("[N&amp;P with New retention and Differentiation.xlsx]'Lake P Results'!AE319", 1.25)</f>
        <v>1.25</v>
      </c>
      <c r="F773" s="13"/>
      <c r="G773" s="13"/>
      <c r="H773" s="28">
        <f>HYPERLINK("[N&amp;P Old retention.xlsx]'Lake P Results'!AM319", 4400)</f>
        <v>4400</v>
      </c>
      <c r="I773" s="28">
        <f>HYPERLINK("[N&amp;P New retention.xlsx]'Lake P Results'!AM319", 3900)</f>
        <v>3900</v>
      </c>
      <c r="J773" s="28">
        <f>HYPERLINK("[N&amp;P with New retention and Differentiation.xlsx]'Lake P Results'!AM319", 3900)</f>
        <v>3900</v>
      </c>
      <c r="K773" s="21">
        <f>I773-H773</f>
        <v>-500</v>
      </c>
      <c r="L773" s="21">
        <f>J773-H773</f>
        <v>-500</v>
      </c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29">
        <f>HYPERLINK("[N&amp;P Old retention.xlsx]'Lake P Results'!AA319", 8.45)</f>
        <v>8.4499999999999993</v>
      </c>
      <c r="AH773" s="29">
        <f>HYPERLINK("[N&amp;P New retention.xlsx]'Lake P Results'!AA319", 3.95)</f>
        <v>3.95</v>
      </c>
      <c r="AI773" s="29">
        <f>HYPERLINK("[N&amp;P with New retention and Differentiation.xlsx]'Lake P Results'!AA319", 3.95)</f>
        <v>3.95</v>
      </c>
      <c r="AJ773" s="47">
        <f>AH773-AG773</f>
        <v>-4.4999999999999991</v>
      </c>
      <c r="AK773" s="47">
        <f>AI773-AG773</f>
        <v>-4.4999999999999991</v>
      </c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29">
        <f>HYPERLINK("[N&amp;P New retention.xlsx]'Lake P Results'!M319", 61.76)</f>
        <v>61.76</v>
      </c>
      <c r="AX773" s="13"/>
      <c r="AY773" s="46">
        <f>AW773-AV773</f>
        <v>61.76</v>
      </c>
      <c r="AZ773" s="13"/>
      <c r="BA773" s="29">
        <f>HYPERLINK("[N&amp;P Old retention.xlsx]'Lake P Results'!O319", 47.46)</f>
        <v>47.46</v>
      </c>
      <c r="BB773" s="29">
        <f>HYPERLINK("[N&amp;P New retention.xlsx]'Lake P Results'!O319", 58.51)</f>
        <v>58.51</v>
      </c>
      <c r="BC773" s="29">
        <f>HYPERLINK("[N&amp;P with New retention and Differentiation.xlsx]'Lake P Results'!O319", 120.27)</f>
        <v>120.27</v>
      </c>
      <c r="BD773" s="46">
        <f>BB773-BA773</f>
        <v>11.049999999999997</v>
      </c>
      <c r="BE773" s="46">
        <f>BC773-BA773</f>
        <v>72.81</v>
      </c>
      <c r="BF773" s="29">
        <f>HYPERLINK("[N&amp;P Old retention.xlsx]'Lake P Results'!R319", 0.228)</f>
        <v>0.22800000000000001</v>
      </c>
      <c r="BG773" s="29">
        <f>HYPERLINK("[N&amp;P New retention.xlsx]'Lake P Results'!R319", 0.228)</f>
        <v>0.22800000000000001</v>
      </c>
      <c r="BH773" s="29">
        <f>HYPERLINK("[N&amp;P with New retention and Differentiation.xlsx]'Lake P Results'!R319", 0.228)</f>
        <v>0.22800000000000001</v>
      </c>
      <c r="BI773" s="13"/>
      <c r="BJ773" s="13"/>
      <c r="BK773" s="29">
        <f>HYPERLINK("[N&amp;P Old retention.xlsx]'Lake P Results'!Q319", 0.839999999999998)</f>
        <v>0.83999999999999797</v>
      </c>
      <c r="BL773" s="29">
        <f>HYPERLINK("[N&amp;P New retention.xlsx]'Lake P Results'!Q319", 0.87)</f>
        <v>0.87</v>
      </c>
      <c r="BM773" s="29">
        <f>HYPERLINK("[N&amp;P with New retention and Differentiation.xlsx]'Lake P Results'!Q319", 0.87)</f>
        <v>0.87</v>
      </c>
      <c r="BN773" s="46">
        <f>BL773-BK773</f>
        <v>3.0000000000002025E-2</v>
      </c>
      <c r="BO773" s="46">
        <f>BM773-BK773</f>
        <v>3.0000000000002025E-2</v>
      </c>
    </row>
    <row r="774" spans="1:67" x14ac:dyDescent="0.55000000000000004">
      <c r="A774" s="30">
        <v>762</v>
      </c>
      <c r="B774" s="6" t="s">
        <v>630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</row>
    <row r="775" spans="1:67" x14ac:dyDescent="0.55000000000000004">
      <c r="A775" s="31">
        <v>763</v>
      </c>
      <c r="B775" s="5" t="s">
        <v>631</v>
      </c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</row>
    <row r="776" spans="1:67" x14ac:dyDescent="0.55000000000000004">
      <c r="A776" s="30">
        <v>765</v>
      </c>
      <c r="B776" s="6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</row>
    <row r="777" spans="1:67" x14ac:dyDescent="0.55000000000000004">
      <c r="A777" s="31">
        <v>766</v>
      </c>
      <c r="B777" s="5" t="s">
        <v>632</v>
      </c>
      <c r="C777" s="13"/>
      <c r="D777" s="13"/>
      <c r="E777" s="13"/>
      <c r="F777" s="13"/>
      <c r="G777" s="13"/>
      <c r="H777" s="28">
        <f>HYPERLINK("[N&amp;P Old retention.xlsx]'Lake P Results'!AM323", 5100)</f>
        <v>5100</v>
      </c>
      <c r="I777" s="28">
        <f>HYPERLINK("[N&amp;P New retention.xlsx]'Lake P Results'!AM323", 5100)</f>
        <v>5100</v>
      </c>
      <c r="J777" s="28">
        <f>HYPERLINK("[N&amp;P with New retention and Differentiation.xlsx]'Lake P Results'!AM323", 5100)</f>
        <v>5100</v>
      </c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28">
        <f>HYPERLINK("[N&amp;P Old retention.xlsx]'Lake P Results'!AH323", 20)</f>
        <v>20</v>
      </c>
      <c r="AR777" s="28">
        <f>HYPERLINK("[N&amp;P New retention.xlsx]'Lake P Results'!AH323", 20)</f>
        <v>20</v>
      </c>
      <c r="AS777" s="28">
        <f>HYPERLINK("[N&amp;P with New retention and Differentiation.xlsx]'Lake P Results'!AH323", 20)</f>
        <v>20</v>
      </c>
      <c r="AT777" s="13"/>
      <c r="AU777" s="13"/>
      <c r="AV777" s="13"/>
      <c r="AW777" s="13"/>
      <c r="AX777" s="13"/>
      <c r="AY777" s="13"/>
      <c r="AZ777" s="13"/>
      <c r="BA777" s="29">
        <f>HYPERLINK("[N&amp;P Old retention.xlsx]'Lake P Results'!O323", 18.63)</f>
        <v>18.63</v>
      </c>
      <c r="BB777" s="29">
        <f>HYPERLINK("[N&amp;P New retention.xlsx]'Lake P Results'!O323", 18.63)</f>
        <v>18.63</v>
      </c>
      <c r="BC777" s="29">
        <f>HYPERLINK("[N&amp;P with New retention and Differentiation.xlsx]'Lake P Results'!O323", 18.63)</f>
        <v>18.63</v>
      </c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</row>
    <row r="778" spans="1:67" x14ac:dyDescent="0.55000000000000004">
      <c r="A778" s="30">
        <v>777</v>
      </c>
      <c r="B778" s="6" t="s">
        <v>633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</row>
    <row r="779" spans="1:67" x14ac:dyDescent="0.55000000000000004">
      <c r="A779" s="31">
        <v>779</v>
      </c>
      <c r="B779" s="5" t="s">
        <v>634</v>
      </c>
      <c r="C779" s="29">
        <f>HYPERLINK("[N&amp;P Old retention.xlsx]'Lake P Results'!AE325", 0.018)</f>
        <v>1.7999999999999999E-2</v>
      </c>
      <c r="D779" s="29">
        <f>HYPERLINK("[N&amp;P New retention.xlsx]'Lake P Results'!AE325", 0.018)</f>
        <v>1.7999999999999999E-2</v>
      </c>
      <c r="E779" s="29">
        <f>HYPERLINK("[N&amp;P with New retention and Differentiation.xlsx]'Lake P Results'!AE325", 0.018)</f>
        <v>1.7999999999999999E-2</v>
      </c>
      <c r="F779" s="13"/>
      <c r="G779" s="13"/>
      <c r="H779" s="28">
        <f>HYPERLINK("[N&amp;P Old retention.xlsx]'Lake P Results'!AM325", 4100)</f>
        <v>4100</v>
      </c>
      <c r="I779" s="28">
        <f>HYPERLINK("[N&amp;P New retention.xlsx]'Lake P Results'!AM325", 4100)</f>
        <v>4100</v>
      </c>
      <c r="J779" s="28">
        <f>HYPERLINK("[N&amp;P with New retention and Differentiation.xlsx]'Lake P Results'!AM325", 4100)</f>
        <v>4100</v>
      </c>
      <c r="K779" s="13"/>
      <c r="L779" s="13"/>
      <c r="M779" s="29">
        <f>HYPERLINK("[N&amp;P Old retention.xlsx]'Lake P Results'!AC325", 5.316)</f>
        <v>5.3159999999999998</v>
      </c>
      <c r="N779" s="29">
        <f>HYPERLINK("[N&amp;P New retention.xlsx]'Lake P Results'!AC325", 3.406)</f>
        <v>3.4060000000000001</v>
      </c>
      <c r="O779" s="29">
        <f>HYPERLINK("[N&amp;P with New retention and Differentiation.xlsx]'Lake P Results'!AC325", 2.87)</f>
        <v>2.87</v>
      </c>
      <c r="P779" s="47">
        <f>N779-M779</f>
        <v>-1.9099999999999997</v>
      </c>
      <c r="Q779" s="47">
        <f>O779-M779</f>
        <v>-2.4459999999999997</v>
      </c>
      <c r="R779" s="29">
        <f>HYPERLINK("[N&amp;P Old retention.xlsx]'Lake P Results'!Y325", 0.968)</f>
        <v>0.96799999999999997</v>
      </c>
      <c r="S779" s="29">
        <f>HYPERLINK("[N&amp;P New retention.xlsx]'Lake P Results'!Y325", 2.878)</f>
        <v>2.8780000000000001</v>
      </c>
      <c r="T779" s="29">
        <f>HYPERLINK("[N&amp;P with New retention and Differentiation.xlsx]'Lake P Results'!Y325", 1.504)</f>
        <v>1.504</v>
      </c>
      <c r="U779" s="46">
        <f>S779-R779</f>
        <v>1.9100000000000001</v>
      </c>
      <c r="V779" s="46">
        <f>T779-R779</f>
        <v>0.53600000000000003</v>
      </c>
      <c r="W779" s="29">
        <f>HYPERLINK("[N&amp;P Old retention.xlsx]'Lake P Results'!V325", 1.95)</f>
        <v>1.95</v>
      </c>
      <c r="X779" s="29">
        <f>HYPERLINK("[N&amp;P New retention.xlsx]'Lake P Results'!V325", 1.95)</f>
        <v>1.95</v>
      </c>
      <c r="Y779" s="29">
        <f>HYPERLINK("[N&amp;P with New retention and Differentiation.xlsx]'Lake P Results'!V325", 1.95)</f>
        <v>1.95</v>
      </c>
      <c r="Z779" s="13"/>
      <c r="AA779" s="13"/>
      <c r="AB779" s="13"/>
      <c r="AC779" s="13"/>
      <c r="AD779" s="29">
        <f>HYPERLINK("[N&amp;P with New retention and Differentiation.xlsx]'Lake P Results'!Z325", 1.91)</f>
        <v>1.91</v>
      </c>
      <c r="AE779" s="13"/>
      <c r="AF779" s="46">
        <f>AD779-AB779</f>
        <v>1.91</v>
      </c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28">
        <f>HYPERLINK("[N&amp;P Old retention.xlsx]'Lake P Results'!AH325", 110)</f>
        <v>110</v>
      </c>
      <c r="AR779" s="28">
        <f>HYPERLINK("[N&amp;P New retention.xlsx]'Lake P Results'!AH325", 110)</f>
        <v>110</v>
      </c>
      <c r="AS779" s="28">
        <f>HYPERLINK("[N&amp;P with New retention and Differentiation.xlsx]'Lake P Results'!AH325", 110)</f>
        <v>110</v>
      </c>
      <c r="AT779" s="13"/>
      <c r="AU779" s="13"/>
      <c r="AV779" s="13"/>
      <c r="AW779" s="13"/>
      <c r="AX779" s="13"/>
      <c r="AY779" s="13"/>
      <c r="AZ779" s="13"/>
      <c r="BA779" s="29">
        <f>HYPERLINK("[N&amp;P Old retention.xlsx]'Lake P Results'!O325", 76.214)</f>
        <v>76.213999999999999</v>
      </c>
      <c r="BB779" s="29">
        <f>HYPERLINK("[N&amp;P New retention.xlsx]'Lake P Results'!O325", 76.214)</f>
        <v>76.213999999999999</v>
      </c>
      <c r="BC779" s="29">
        <f>HYPERLINK("[N&amp;P with New retention and Differentiation.xlsx]'Lake P Results'!O325", 76.214)</f>
        <v>76.213999999999999</v>
      </c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</row>
    <row r="780" spans="1:67" x14ac:dyDescent="0.55000000000000004">
      <c r="A780" s="30">
        <v>782</v>
      </c>
      <c r="B780" s="6" t="s">
        <v>635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</row>
    <row r="781" spans="1:67" x14ac:dyDescent="0.55000000000000004">
      <c r="A781" s="31">
        <v>783</v>
      </c>
      <c r="B781" s="5" t="s">
        <v>636</v>
      </c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</row>
    <row r="782" spans="1:67" x14ac:dyDescent="0.55000000000000004">
      <c r="A782" s="30">
        <v>786</v>
      </c>
      <c r="B782" s="6" t="s">
        <v>637</v>
      </c>
      <c r="C782" s="18"/>
      <c r="D782" s="18"/>
      <c r="E782" s="18"/>
      <c r="F782" s="18"/>
      <c r="G782" s="18"/>
      <c r="H782" s="26">
        <f>HYPERLINK("[N&amp;P Old retention.xlsx]'Lake P Results'!AM328", 2000)</f>
        <v>2000</v>
      </c>
      <c r="I782" s="26">
        <f>HYPERLINK("[N&amp;P New retention.xlsx]'Lake P Results'!AM328", 2000)</f>
        <v>2000</v>
      </c>
      <c r="J782" s="26">
        <f>HYPERLINK("[N&amp;P with New retention and Differentiation.xlsx]'Lake P Results'!AM328", 2000)</f>
        <v>2000</v>
      </c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27">
        <f>HYPERLINK("[N&amp;P Old retention.xlsx]'Lake P Results'!O328", 0.06)</f>
        <v>0.06</v>
      </c>
      <c r="BB782" s="27">
        <f>HYPERLINK("[N&amp;P New retention.xlsx]'Lake P Results'!O328", 0.06)</f>
        <v>0.06</v>
      </c>
      <c r="BC782" s="27">
        <f>HYPERLINK("[N&amp;P with New retention and Differentiation.xlsx]'Lake P Results'!O328", 0.06)</f>
        <v>0.06</v>
      </c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</row>
    <row r="783" spans="1:67" x14ac:dyDescent="0.55000000000000004">
      <c r="A783" s="31">
        <v>788</v>
      </c>
      <c r="B783" s="5" t="s">
        <v>638</v>
      </c>
      <c r="C783" s="13"/>
      <c r="D783" s="13"/>
      <c r="E783" s="13"/>
      <c r="F783" s="13"/>
      <c r="G783" s="13"/>
      <c r="H783" s="28">
        <f>HYPERLINK("[N&amp;P Old retention.xlsx]'Lake P Results'!AM329", 3300)</f>
        <v>3300</v>
      </c>
      <c r="I783" s="28">
        <f>HYPERLINK("[N&amp;P New retention.xlsx]'Lake P Results'!AM329", 3300)</f>
        <v>3300</v>
      </c>
      <c r="J783" s="28">
        <f>HYPERLINK("[N&amp;P with New retention and Differentiation.xlsx]'Lake P Results'!AM329", 3300)</f>
        <v>3300</v>
      </c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</row>
    <row r="784" spans="1:67" x14ac:dyDescent="0.55000000000000004">
      <c r="A784" s="30">
        <v>789</v>
      </c>
      <c r="B784" s="6" t="s">
        <v>639</v>
      </c>
      <c r="C784" s="18"/>
      <c r="D784" s="18"/>
      <c r="E784" s="18"/>
      <c r="F784" s="18"/>
      <c r="G784" s="18"/>
      <c r="H784" s="26">
        <f>HYPERLINK("[N&amp;P Old retention.xlsx]'Lake P Results'!AM330", 500)</f>
        <v>500</v>
      </c>
      <c r="I784" s="26">
        <f>HYPERLINK("[N&amp;P New retention.xlsx]'Lake P Results'!AM330", 500)</f>
        <v>500</v>
      </c>
      <c r="J784" s="26">
        <f>HYPERLINK("[N&amp;P with New retention and Differentiation.xlsx]'Lake P Results'!AM330", 500)</f>
        <v>500</v>
      </c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</row>
    <row r="785" spans="1:67" x14ac:dyDescent="0.55000000000000004">
      <c r="A785" s="31">
        <v>793</v>
      </c>
      <c r="B785" s="5" t="s">
        <v>640</v>
      </c>
      <c r="C785" s="29">
        <f>HYPERLINK("[N&amp;P Old retention.xlsx]'Lake P Results'!AE331", 0.56)</f>
        <v>0.56000000000000005</v>
      </c>
      <c r="D785" s="29">
        <f>HYPERLINK("[N&amp;P New retention.xlsx]'Lake P Results'!AE331", 0.51)</f>
        <v>0.51</v>
      </c>
      <c r="E785" s="29">
        <f>HYPERLINK("[N&amp;P with New retention and Differentiation.xlsx]'Lake P Results'!AE331", 0.56)</f>
        <v>0.56000000000000005</v>
      </c>
      <c r="F785" s="47">
        <f>D785-C785</f>
        <v>-5.0000000000000044E-2</v>
      </c>
      <c r="G785" s="13"/>
      <c r="H785" s="28">
        <f>HYPERLINK("[N&amp;P Old retention.xlsx]'Lake P Results'!AM331", 800)</f>
        <v>800</v>
      </c>
      <c r="I785" s="28">
        <f>HYPERLINK("[N&amp;P New retention.xlsx]'Lake P Results'!AM331", 600)</f>
        <v>600</v>
      </c>
      <c r="J785" s="28">
        <f>HYPERLINK("[N&amp;P with New retention and Differentiation.xlsx]'Lake P Results'!AM331", 300)</f>
        <v>300</v>
      </c>
      <c r="K785" s="21">
        <f>I785-H785</f>
        <v>-200</v>
      </c>
      <c r="L785" s="21">
        <f>J785-H785</f>
        <v>-500</v>
      </c>
      <c r="M785" s="13"/>
      <c r="N785" s="29">
        <f>HYPERLINK("[N&amp;P New retention.xlsx]'Lake P Results'!AC331", 0.048)</f>
        <v>4.8000000000000001E-2</v>
      </c>
      <c r="O785" s="13"/>
      <c r="P785" s="46">
        <f>N785-M785</f>
        <v>4.8000000000000001E-2</v>
      </c>
      <c r="Q785" s="13"/>
      <c r="R785" s="29">
        <f>HYPERLINK("[N&amp;P Old retention.xlsx]'Lake P Results'!Y331", 0.048)</f>
        <v>4.8000000000000001E-2</v>
      </c>
      <c r="S785" s="13"/>
      <c r="T785" s="13"/>
      <c r="U785" s="47">
        <f>S785-R785</f>
        <v>-4.8000000000000001E-2</v>
      </c>
      <c r="V785" s="47">
        <f>T785-R785</f>
        <v>-4.8000000000000001E-2</v>
      </c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</row>
    <row r="786" spans="1:67" x14ac:dyDescent="0.55000000000000004">
      <c r="A786" s="30">
        <v>794</v>
      </c>
      <c r="B786" s="6" t="s">
        <v>641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</row>
    <row r="787" spans="1:67" x14ac:dyDescent="0.55000000000000004">
      <c r="A787" s="31">
        <v>796</v>
      </c>
      <c r="B787" s="5" t="s">
        <v>642</v>
      </c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</row>
    <row r="788" spans="1:67" x14ac:dyDescent="0.55000000000000004">
      <c r="A788" s="30">
        <v>800</v>
      </c>
      <c r="B788" s="6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</row>
    <row r="789" spans="1:67" x14ac:dyDescent="0.55000000000000004">
      <c r="A789" s="31">
        <v>802</v>
      </c>
      <c r="B789" s="5"/>
      <c r="C789" s="13"/>
      <c r="D789" s="13"/>
      <c r="E789" s="13"/>
      <c r="F789" s="13"/>
      <c r="G789" s="13"/>
      <c r="H789" s="28">
        <f>HYPERLINK("[N&amp;P Old retention.xlsx]'Lake P Results'!AM335", 500)</f>
        <v>500</v>
      </c>
      <c r="I789" s="28">
        <f>HYPERLINK("[N&amp;P New retention.xlsx]'Lake P Results'!AM335", 500)</f>
        <v>500</v>
      </c>
      <c r="J789" s="28">
        <f>HYPERLINK("[N&amp;P with New retention and Differentiation.xlsx]'Lake P Results'!AM335", 500)</f>
        <v>500</v>
      </c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28">
        <f>HYPERLINK("[N&amp;P Old retention.xlsx]'Lake P Results'!AH335", 20)</f>
        <v>20</v>
      </c>
      <c r="AR789" s="28">
        <f>HYPERLINK("[N&amp;P New retention.xlsx]'Lake P Results'!AH335", 20)</f>
        <v>20</v>
      </c>
      <c r="AS789" s="28">
        <f>HYPERLINK("[N&amp;P with New retention and Differentiation.xlsx]'Lake P Results'!AH335", 20)</f>
        <v>20</v>
      </c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</row>
    <row r="790" spans="1:67" x14ac:dyDescent="0.55000000000000004">
      <c r="A790" s="30">
        <v>805</v>
      </c>
      <c r="B790" s="6" t="s">
        <v>643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</row>
    <row r="791" spans="1:67" x14ac:dyDescent="0.55000000000000004">
      <c r="A791" s="31">
        <v>810</v>
      </c>
      <c r="B791" s="5" t="s">
        <v>644</v>
      </c>
      <c r="C791" s="13"/>
      <c r="D791" s="13"/>
      <c r="E791" s="13"/>
      <c r="F791" s="13"/>
      <c r="G791" s="13"/>
      <c r="H791" s="28">
        <f>HYPERLINK("[N&amp;P Old retention.xlsx]'Lake P Results'!AM337", 200)</f>
        <v>200</v>
      </c>
      <c r="I791" s="28">
        <f>HYPERLINK("[N&amp;P New retention.xlsx]'Lake P Results'!AM337", 200)</f>
        <v>200</v>
      </c>
      <c r="J791" s="28">
        <f>HYPERLINK("[N&amp;P with New retention and Differentiation.xlsx]'Lake P Results'!AM337", 200)</f>
        <v>200</v>
      </c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</row>
    <row r="792" spans="1:67" x14ac:dyDescent="0.55000000000000004">
      <c r="A792" s="30">
        <v>811</v>
      </c>
      <c r="B792" s="6" t="s">
        <v>645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</row>
    <row r="793" spans="1:67" x14ac:dyDescent="0.55000000000000004">
      <c r="A793" s="31">
        <v>813</v>
      </c>
      <c r="B793" s="5" t="s">
        <v>646</v>
      </c>
      <c r="C793" s="29">
        <f>HYPERLINK("[N&amp;P Old retention.xlsx]'Lake P Results'!AE339", 0.310000000000001)</f>
        <v>0.310000000000001</v>
      </c>
      <c r="D793" s="29">
        <f>HYPERLINK("[N&amp;P New retention.xlsx]'Lake P Results'!AE339", 0.310000000000001)</f>
        <v>0.310000000000001</v>
      </c>
      <c r="E793" s="29">
        <f>HYPERLINK("[N&amp;P with New retention and Differentiation.xlsx]'Lake P Results'!AE339", 0.310000000000001)</f>
        <v>0.310000000000001</v>
      </c>
      <c r="F793" s="13"/>
      <c r="G793" s="13"/>
      <c r="H793" s="28">
        <f>HYPERLINK("[N&amp;P Old retention.xlsx]'Lake P Results'!AM339", 1100)</f>
        <v>1100</v>
      </c>
      <c r="I793" s="28">
        <f>HYPERLINK("[N&amp;P New retention.xlsx]'Lake P Results'!AM339", 1300)</f>
        <v>1300</v>
      </c>
      <c r="J793" s="28">
        <f>HYPERLINK("[N&amp;P with New retention and Differentiation.xlsx]'Lake P Results'!AM339", 1500)</f>
        <v>1500</v>
      </c>
      <c r="K793" s="16">
        <f>I793-H793</f>
        <v>200</v>
      </c>
      <c r="L793" s="16">
        <f>J793-H793</f>
        <v>400</v>
      </c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29">
        <f>HYPERLINK("[N&amp;P New retention.xlsx]'Lake P Results'!AA339", 0.55)</f>
        <v>0.55000000000000004</v>
      </c>
      <c r="AI793" s="29">
        <f>HYPERLINK("[N&amp;P with New retention and Differentiation.xlsx]'Lake P Results'!AA339", 0.55)</f>
        <v>0.55000000000000004</v>
      </c>
      <c r="AJ793" s="46">
        <f>AH793-AG793</f>
        <v>0.55000000000000004</v>
      </c>
      <c r="AK793" s="46">
        <f>AI793-AG793</f>
        <v>0.55000000000000004</v>
      </c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</row>
    <row r="794" spans="1:67" x14ac:dyDescent="0.55000000000000004">
      <c r="A794" s="30">
        <v>815</v>
      </c>
      <c r="B794" s="6" t="s">
        <v>647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27">
        <f>HYPERLINK("[N&amp;P New retention.xlsx]'Lake P Results'!O340", 2.69)</f>
        <v>2.69</v>
      </c>
      <c r="BC794" s="27">
        <f>HYPERLINK("[N&amp;P with New retention and Differentiation.xlsx]'Lake P Results'!O340", 4.018)</f>
        <v>4.0179999999999998</v>
      </c>
      <c r="BD794" s="46">
        <f>BB794-BA794</f>
        <v>2.69</v>
      </c>
      <c r="BE794" s="46">
        <f>BC794-BA794</f>
        <v>4.0179999999999998</v>
      </c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</row>
    <row r="795" spans="1:67" x14ac:dyDescent="0.55000000000000004">
      <c r="A795" s="31">
        <v>816</v>
      </c>
      <c r="B795" s="5" t="s">
        <v>648</v>
      </c>
      <c r="C795" s="13"/>
      <c r="D795" s="13"/>
      <c r="E795" s="13"/>
      <c r="F795" s="13"/>
      <c r="G795" s="13"/>
      <c r="H795" s="28">
        <f>HYPERLINK("[N&amp;P Old retention.xlsx]'Lake P Results'!AM341", 1200)</f>
        <v>1200</v>
      </c>
      <c r="I795" s="28">
        <f>HYPERLINK("[N&amp;P New retention.xlsx]'Lake P Results'!AM341", 1200)</f>
        <v>1200</v>
      </c>
      <c r="J795" s="28">
        <f>HYPERLINK("[N&amp;P with New retention and Differentiation.xlsx]'Lake P Results'!AM341", 1200)</f>
        <v>1200</v>
      </c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</row>
    <row r="796" spans="1:67" x14ac:dyDescent="0.55000000000000004">
      <c r="A796" s="30">
        <v>821</v>
      </c>
      <c r="B796" s="6" t="s">
        <v>649</v>
      </c>
      <c r="C796" s="18"/>
      <c r="D796" s="18"/>
      <c r="E796" s="18"/>
      <c r="F796" s="18"/>
      <c r="G796" s="18"/>
      <c r="H796" s="26">
        <f>HYPERLINK("[N&amp;P Old retention.xlsx]'Lake P Results'!AM342", 300)</f>
        <v>300</v>
      </c>
      <c r="I796" s="26">
        <f>HYPERLINK("[N&amp;P New retention.xlsx]'Lake P Results'!AM342", 300)</f>
        <v>300</v>
      </c>
      <c r="J796" s="26">
        <f>HYPERLINK("[N&amp;P with New retention and Differentiation.xlsx]'Lake P Results'!AM342", 300)</f>
        <v>300</v>
      </c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</row>
    <row r="797" spans="1:67" x14ac:dyDescent="0.55000000000000004">
      <c r="A797" s="31">
        <v>825</v>
      </c>
      <c r="B797" s="5" t="s">
        <v>650</v>
      </c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</row>
    <row r="798" spans="1:67" x14ac:dyDescent="0.55000000000000004">
      <c r="A798" s="30">
        <v>826</v>
      </c>
      <c r="B798" s="6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</row>
    <row r="799" spans="1:67" x14ac:dyDescent="0.55000000000000004">
      <c r="A799" s="31">
        <v>827</v>
      </c>
      <c r="B799" s="5" t="s">
        <v>651</v>
      </c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</row>
    <row r="800" spans="1:67" x14ac:dyDescent="0.55000000000000004">
      <c r="A800" s="30">
        <v>828</v>
      </c>
      <c r="B800" s="6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</row>
    <row r="801" spans="1:67" x14ac:dyDescent="0.55000000000000004">
      <c r="A801" s="31">
        <v>830</v>
      </c>
      <c r="B801" s="5" t="s">
        <v>652</v>
      </c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</row>
    <row r="802" spans="1:67" x14ac:dyDescent="0.55000000000000004">
      <c r="A802" s="30">
        <v>832</v>
      </c>
      <c r="B802" s="6" t="s">
        <v>653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</row>
    <row r="803" spans="1:67" x14ac:dyDescent="0.55000000000000004">
      <c r="A803" s="31">
        <v>834</v>
      </c>
      <c r="B803" s="5" t="s">
        <v>654</v>
      </c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</row>
    <row r="804" spans="1:67" x14ac:dyDescent="0.55000000000000004">
      <c r="A804" s="30">
        <v>835</v>
      </c>
      <c r="B804" s="6" t="s">
        <v>655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</row>
    <row r="805" spans="1:67" x14ac:dyDescent="0.55000000000000004">
      <c r="A805" s="31">
        <v>837</v>
      </c>
      <c r="B805" s="5" t="s">
        <v>656</v>
      </c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</row>
    <row r="806" spans="1:67" x14ac:dyDescent="0.55000000000000004">
      <c r="A806" s="30">
        <v>838</v>
      </c>
      <c r="B806" s="6" t="s">
        <v>657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27">
        <f>HYPERLINK("[N&amp;P Old retention.xlsx]'Lake P Results'!O352", 75.86)</f>
        <v>75.86</v>
      </c>
      <c r="BB806" s="27">
        <f>HYPERLINK("[N&amp;P New retention.xlsx]'Lake P Results'!O352", 113.57)</f>
        <v>113.57</v>
      </c>
      <c r="BC806" s="27">
        <f>HYPERLINK("[N&amp;P with New retention and Differentiation.xlsx]'Lake P Results'!O352", 139.51)</f>
        <v>139.51</v>
      </c>
      <c r="BD806" s="46">
        <f>BB806-BA806</f>
        <v>37.709999999999994</v>
      </c>
      <c r="BE806" s="46">
        <f>BC806-BA806</f>
        <v>63.649999999999991</v>
      </c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</row>
    <row r="807" spans="1:67" x14ac:dyDescent="0.55000000000000004">
      <c r="A807" s="31">
        <v>841</v>
      </c>
      <c r="B807" s="5" t="s">
        <v>658</v>
      </c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</row>
    <row r="808" spans="1:67" x14ac:dyDescent="0.55000000000000004">
      <c r="A808" s="30">
        <v>843</v>
      </c>
      <c r="B808" s="6" t="s">
        <v>659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</row>
    <row r="809" spans="1:67" x14ac:dyDescent="0.55000000000000004">
      <c r="A809" s="31">
        <v>845</v>
      </c>
      <c r="B809" s="5" t="s">
        <v>660</v>
      </c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29">
        <f>HYPERLINK("[N&amp;P Old retention.xlsx]'Lake P Results'!R355", 0.33)</f>
        <v>0.33</v>
      </c>
      <c r="BG809" s="29">
        <f>HYPERLINK("[N&amp;P New retention.xlsx]'Lake P Results'!R355", 0.33)</f>
        <v>0.33</v>
      </c>
      <c r="BH809" s="29">
        <f>HYPERLINK("[N&amp;P with New retention and Differentiation.xlsx]'Lake P Results'!R355", 0.33)</f>
        <v>0.33</v>
      </c>
      <c r="BI809" s="13"/>
      <c r="BJ809" s="13"/>
      <c r="BK809" s="13"/>
      <c r="BL809" s="13"/>
      <c r="BM809" s="13"/>
      <c r="BN809" s="13"/>
      <c r="BO809" s="13"/>
    </row>
    <row r="810" spans="1:67" x14ac:dyDescent="0.55000000000000004">
      <c r="A810" s="30">
        <v>846</v>
      </c>
      <c r="B810" s="6" t="s">
        <v>661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</row>
    <row r="811" spans="1:67" x14ac:dyDescent="0.55000000000000004">
      <c r="A811" s="31">
        <v>847</v>
      </c>
      <c r="B811" s="5" t="s">
        <v>662</v>
      </c>
      <c r="C811" s="29">
        <f>HYPERLINK("[N&amp;P Old retention.xlsx]'Lake P Results'!AE357", 22.03)</f>
        <v>22.03</v>
      </c>
      <c r="D811" s="29">
        <f>HYPERLINK("[N&amp;P New retention.xlsx]'Lake P Results'!AE357", 22.07)</f>
        <v>22.07</v>
      </c>
      <c r="E811" s="29">
        <f>HYPERLINK("[N&amp;P with New retention and Differentiation.xlsx]'Lake P Results'!AE357", 22.07)</f>
        <v>22.07</v>
      </c>
      <c r="F811" s="46">
        <f>D811-C811</f>
        <v>3.9999999999999147E-2</v>
      </c>
      <c r="G811" s="46">
        <f>E811-C811</f>
        <v>3.9999999999999147E-2</v>
      </c>
      <c r="H811" s="28">
        <f>HYPERLINK("[N&amp;P Old retention.xlsx]'Lake P Results'!AM357", 18900)</f>
        <v>18900</v>
      </c>
      <c r="I811" s="28">
        <f>HYPERLINK("[N&amp;P New retention.xlsx]'Lake P Results'!AM357", 18700)</f>
        <v>18700</v>
      </c>
      <c r="J811" s="28">
        <f>HYPERLINK("[N&amp;P with New retention and Differentiation.xlsx]'Lake P Results'!AM357", 18700)</f>
        <v>18700</v>
      </c>
      <c r="K811" s="21">
        <f>I811-H811</f>
        <v>-200</v>
      </c>
      <c r="L811" s="21">
        <f>J811-H811</f>
        <v>-200</v>
      </c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29">
        <f>HYPERLINK("[N&amp;P Old retention.xlsx]'Lake P Results'!Z357", 0.162)</f>
        <v>0.16200000000000001</v>
      </c>
      <c r="AC811" s="29">
        <f>HYPERLINK("[N&amp;P New retention.xlsx]'Lake P Results'!Z357", 0.152)</f>
        <v>0.152</v>
      </c>
      <c r="AD811" s="13"/>
      <c r="AE811" s="47">
        <f>AC811-AB811</f>
        <v>-1.0000000000000009E-2</v>
      </c>
      <c r="AF811" s="47">
        <f>AD811-AB811</f>
        <v>-0.16200000000000001</v>
      </c>
      <c r="AG811" s="29">
        <f>HYPERLINK("[N&amp;P Old retention.xlsx]'Lake P Results'!AA357", 2.16)</f>
        <v>2.16</v>
      </c>
      <c r="AH811" s="29">
        <f>HYPERLINK("[N&amp;P New retention.xlsx]'Lake P Results'!AA357", 2.16)</f>
        <v>2.16</v>
      </c>
      <c r="AI811" s="29">
        <f>HYPERLINK("[N&amp;P with New retention and Differentiation.xlsx]'Lake P Results'!AA357", 2.16)</f>
        <v>2.16</v>
      </c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29">
        <f>HYPERLINK("[N&amp;P Old retention.xlsx]'Lake P Results'!O357", 14.25)</f>
        <v>14.25</v>
      </c>
      <c r="BB811" s="29">
        <f>HYPERLINK("[N&amp;P New retention.xlsx]'Lake P Results'!O357", 19.818)</f>
        <v>19.818000000000001</v>
      </c>
      <c r="BC811" s="29">
        <f>HYPERLINK("[N&amp;P with New retention and Differentiation.xlsx]'Lake P Results'!O357", 25.658)</f>
        <v>25.658000000000001</v>
      </c>
      <c r="BD811" s="46">
        <f>BB811-BA811</f>
        <v>5.5680000000000014</v>
      </c>
      <c r="BE811" s="46">
        <f>BC811-BA811</f>
        <v>11.408000000000001</v>
      </c>
      <c r="BF811" s="29">
        <f>HYPERLINK("[N&amp;P Old retention.xlsx]'Lake P Results'!R357", 0.19)</f>
        <v>0.19</v>
      </c>
      <c r="BG811" s="29">
        <f>HYPERLINK("[N&amp;P New retention.xlsx]'Lake P Results'!R357", 1.28)</f>
        <v>1.28</v>
      </c>
      <c r="BH811" s="29">
        <f>HYPERLINK("[N&amp;P with New retention and Differentiation.xlsx]'Lake P Results'!R357", 1.28)</f>
        <v>1.28</v>
      </c>
      <c r="BI811" s="46">
        <f>BG811-BF811</f>
        <v>1.0900000000000001</v>
      </c>
      <c r="BJ811" s="46">
        <f>BH811-BF811</f>
        <v>1.0900000000000001</v>
      </c>
      <c r="BK811" s="29">
        <f>HYPERLINK("[N&amp;P Old retention.xlsx]'Lake P Results'!Q357", 2.47)</f>
        <v>2.4700000000000002</v>
      </c>
      <c r="BL811" s="29">
        <f>HYPERLINK("[N&amp;P New retention.xlsx]'Lake P Results'!Q357", 2.78)</f>
        <v>2.78</v>
      </c>
      <c r="BM811" s="29">
        <f>HYPERLINK("[N&amp;P with New retention and Differentiation.xlsx]'Lake P Results'!Q357", 1.73)</f>
        <v>1.73</v>
      </c>
      <c r="BN811" s="46">
        <f>BL811-BK811</f>
        <v>0.30999999999999961</v>
      </c>
      <c r="BO811" s="47">
        <f>BM811-BK811</f>
        <v>-0.74000000000000021</v>
      </c>
    </row>
    <row r="812" spans="1:67" x14ac:dyDescent="0.55000000000000004">
      <c r="A812" s="30">
        <v>848</v>
      </c>
      <c r="B812" s="6" t="s">
        <v>663</v>
      </c>
      <c r="C812" s="18"/>
      <c r="D812" s="18"/>
      <c r="E812" s="18"/>
      <c r="F812" s="18"/>
      <c r="G812" s="18"/>
      <c r="H812" s="26">
        <f>HYPERLINK("[N&amp;P Old retention.xlsx]'Lake P Results'!AM358", 100)</f>
        <v>100</v>
      </c>
      <c r="I812" s="26">
        <f>HYPERLINK("[N&amp;P New retention.xlsx]'Lake P Results'!AM358", 100)</f>
        <v>100</v>
      </c>
      <c r="J812" s="26">
        <f>HYPERLINK("[N&amp;P with New retention and Differentiation.xlsx]'Lake P Results'!AM358", 100)</f>
        <v>100</v>
      </c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27">
        <f>HYPERLINK("[N&amp;P Old retention.xlsx]'Lake P Results'!AA358", 1.132)</f>
        <v>1.1319999999999999</v>
      </c>
      <c r="AH812" s="27">
        <f>HYPERLINK("[N&amp;P New retention.xlsx]'Lake P Results'!AA358", 1.132)</f>
        <v>1.1319999999999999</v>
      </c>
      <c r="AI812" s="27">
        <f>HYPERLINK("[N&amp;P with New retention and Differentiation.xlsx]'Lake P Results'!AA358", 1.132)</f>
        <v>1.1319999999999999</v>
      </c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27">
        <f>HYPERLINK("[N&amp;P with New retention and Differentiation.xlsx]'Lake P Results'!O358", 2.98)</f>
        <v>2.98</v>
      </c>
      <c r="BD812" s="18"/>
      <c r="BE812" s="46">
        <f>BC812-BA812</f>
        <v>2.98</v>
      </c>
      <c r="BF812" s="18"/>
      <c r="BG812" s="27">
        <f>HYPERLINK("[N&amp;P New retention.xlsx]'Lake P Results'!R358", 0.0079999999999999)</f>
        <v>7.9999999999998996E-3</v>
      </c>
      <c r="BH812" s="27">
        <f>HYPERLINK("[N&amp;P with New retention and Differentiation.xlsx]'Lake P Results'!R358", 0.0079999999999999)</f>
        <v>7.9999999999998996E-3</v>
      </c>
      <c r="BI812" s="46">
        <f>BG812-BF812</f>
        <v>7.9999999999998996E-3</v>
      </c>
      <c r="BJ812" s="46">
        <f>BH812-BF812</f>
        <v>7.9999999999998996E-3</v>
      </c>
      <c r="BK812" s="27">
        <f>HYPERLINK("[N&amp;P Old retention.xlsx]'Lake P Results'!Q358", 0.08)</f>
        <v>0.08</v>
      </c>
      <c r="BL812" s="27">
        <f>HYPERLINK("[N&amp;P New retention.xlsx]'Lake P Results'!Q358", 0.27)</f>
        <v>0.27</v>
      </c>
      <c r="BM812" s="27">
        <f>HYPERLINK("[N&amp;P with New retention and Differentiation.xlsx]'Lake P Results'!Q358", 0.27)</f>
        <v>0.27</v>
      </c>
      <c r="BN812" s="46">
        <f>BL812-BK812</f>
        <v>0.19</v>
      </c>
      <c r="BO812" s="46">
        <f>BM812-BK812</f>
        <v>0.19</v>
      </c>
    </row>
    <row r="813" spans="1:67" x14ac:dyDescent="0.55000000000000004">
      <c r="A813" s="31">
        <v>849</v>
      </c>
      <c r="B813" s="5" t="s">
        <v>664</v>
      </c>
      <c r="C813" s="13"/>
      <c r="D813" s="13"/>
      <c r="E813" s="13"/>
      <c r="F813" s="13"/>
      <c r="G813" s="13"/>
      <c r="H813" s="28">
        <f>HYPERLINK("[N&amp;P Old retention.xlsx]'Lake P Results'!AM359", 800)</f>
        <v>800</v>
      </c>
      <c r="I813" s="28">
        <f>HYPERLINK("[N&amp;P New retention.xlsx]'Lake P Results'!AM359", 800)</f>
        <v>800</v>
      </c>
      <c r="J813" s="28">
        <f>HYPERLINK("[N&amp;P with New retention and Differentiation.xlsx]'Lake P Results'!AM359", 800)</f>
        <v>800</v>
      </c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29">
        <f>HYPERLINK("[N&amp;P with New retention and Differentiation.xlsx]'Lake P Results'!O359", 1.88)</f>
        <v>1.88</v>
      </c>
      <c r="BD813" s="13"/>
      <c r="BE813" s="46">
        <f>BC813-BA813</f>
        <v>1.88</v>
      </c>
      <c r="BF813" s="29">
        <f>HYPERLINK("[N&amp;P Old retention.xlsx]'Lake P Results'!R359", 1.02)</f>
        <v>1.02</v>
      </c>
      <c r="BG813" s="29">
        <f>HYPERLINK("[N&amp;P New retention.xlsx]'Lake P Results'!R359", 1.02)</f>
        <v>1.02</v>
      </c>
      <c r="BH813" s="29">
        <f>HYPERLINK("[N&amp;P with New retention and Differentiation.xlsx]'Lake P Results'!R359", 1.02)</f>
        <v>1.02</v>
      </c>
      <c r="BI813" s="13"/>
      <c r="BJ813" s="13"/>
      <c r="BK813" s="13"/>
      <c r="BL813" s="13"/>
      <c r="BM813" s="13"/>
      <c r="BN813" s="13"/>
      <c r="BO813" s="13"/>
    </row>
    <row r="814" spans="1:67" x14ac:dyDescent="0.55000000000000004">
      <c r="A814" s="30">
        <v>850</v>
      </c>
      <c r="B814" s="6" t="s">
        <v>665</v>
      </c>
      <c r="C814" s="27">
        <f>HYPERLINK("[N&amp;P Old retention.xlsx]'Lake P Results'!AE360", 8.464)</f>
        <v>8.4640000000000004</v>
      </c>
      <c r="D814" s="27">
        <f>HYPERLINK("[N&amp;P New retention.xlsx]'Lake P Results'!AE360", 8.444)</f>
        <v>8.4440000000000008</v>
      </c>
      <c r="E814" s="27">
        <f>HYPERLINK("[N&amp;P with New retention and Differentiation.xlsx]'Lake P Results'!AE360", 8.304)</f>
        <v>8.3040000000000003</v>
      </c>
      <c r="F814" s="47">
        <f>D814-C814</f>
        <v>-1.9999999999999574E-2</v>
      </c>
      <c r="G814" s="47">
        <f>E814-C814</f>
        <v>-0.16000000000000014</v>
      </c>
      <c r="H814" s="26">
        <f>HYPERLINK("[N&amp;P Old retention.xlsx]'Lake P Results'!AM360", 27600)</f>
        <v>27600</v>
      </c>
      <c r="I814" s="26">
        <f>HYPERLINK("[N&amp;P New retention.xlsx]'Lake P Results'!AM360", 27300)</f>
        <v>27300</v>
      </c>
      <c r="J814" s="26">
        <f>HYPERLINK("[N&amp;P with New retention and Differentiation.xlsx]'Lake P Results'!AM360", 28100)</f>
        <v>28100</v>
      </c>
      <c r="K814" s="21">
        <f>I814-H814</f>
        <v>-300</v>
      </c>
      <c r="L814" s="16">
        <f>J814-H814</f>
        <v>500</v>
      </c>
      <c r="M814" s="27">
        <f>HYPERLINK("[N&amp;P Old retention.xlsx]'Lake P Results'!AC360", 3.016)</f>
        <v>3.016</v>
      </c>
      <c r="N814" s="27">
        <f>HYPERLINK("[N&amp;P New retention.xlsx]'Lake P Results'!AC360", 3.202)</f>
        <v>3.202</v>
      </c>
      <c r="O814" s="27">
        <f>HYPERLINK("[N&amp;P with New retention and Differentiation.xlsx]'Lake P Results'!AC360", 3.078)</f>
        <v>3.0779999999999998</v>
      </c>
      <c r="P814" s="46">
        <f>N814-M814</f>
        <v>0.18599999999999994</v>
      </c>
      <c r="Q814" s="46">
        <f>O814-M814</f>
        <v>6.1999999999999833E-2</v>
      </c>
      <c r="R814" s="27">
        <f>HYPERLINK("[N&amp;P Old retention.xlsx]'Lake P Results'!Y360", 0.02)</f>
        <v>0.02</v>
      </c>
      <c r="S814" s="27">
        <f>HYPERLINK("[N&amp;P New retention.xlsx]'Lake P Results'!Y360", 0.02)</f>
        <v>0.02</v>
      </c>
      <c r="T814" s="27">
        <f>HYPERLINK("[N&amp;P with New retention and Differentiation.xlsx]'Lake P Results'!Y360", 0.186)</f>
        <v>0.186</v>
      </c>
      <c r="U814" s="18"/>
      <c r="V814" s="46">
        <f>T814-R814</f>
        <v>0.16600000000000001</v>
      </c>
      <c r="W814" s="18"/>
      <c r="X814" s="18"/>
      <c r="Y814" s="18"/>
      <c r="Z814" s="18"/>
      <c r="AA814" s="18"/>
      <c r="AB814" s="27">
        <f>HYPERLINK("[N&amp;P Old retention.xlsx]'Lake P Results'!Z360", 0.54)</f>
        <v>0.54</v>
      </c>
      <c r="AC814" s="27">
        <f>HYPERLINK("[N&amp;P New retention.xlsx]'Lake P Results'!Z360", 0.292)</f>
        <v>0.29199999999999998</v>
      </c>
      <c r="AD814" s="27">
        <f>HYPERLINK("[N&amp;P with New retention and Differentiation.xlsx]'Lake P Results'!Z360", 0.02)</f>
        <v>0.02</v>
      </c>
      <c r="AE814" s="47">
        <f>AC814-AB814</f>
        <v>-0.24800000000000005</v>
      </c>
      <c r="AF814" s="47">
        <f>AD814-AB814</f>
        <v>-0.52</v>
      </c>
      <c r="AG814" s="27">
        <f>HYPERLINK("[N&amp;P Old retention.xlsx]'Lake P Results'!AA360", 0.1)</f>
        <v>0.1</v>
      </c>
      <c r="AH814" s="27">
        <f>HYPERLINK("[N&amp;P New retention.xlsx]'Lake P Results'!AA360", 3.372)</f>
        <v>3.3719999999999999</v>
      </c>
      <c r="AI814" s="27">
        <f>HYPERLINK("[N&amp;P with New retention and Differentiation.xlsx]'Lake P Results'!AA360", 3.372)</f>
        <v>3.3719999999999999</v>
      </c>
      <c r="AJ814" s="46">
        <f>AH814-AG814</f>
        <v>3.2719999999999998</v>
      </c>
      <c r="AK814" s="46">
        <f>AI814-AG814</f>
        <v>3.2719999999999998</v>
      </c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27">
        <f>HYPERLINK("[N&amp;P Old retention.xlsx]'Lake P Results'!O360", 2.564)</f>
        <v>2.5640000000000001</v>
      </c>
      <c r="BB814" s="27">
        <f>HYPERLINK("[N&amp;P New retention.xlsx]'Lake P Results'!O360", 2.564)</f>
        <v>2.5640000000000001</v>
      </c>
      <c r="BC814" s="27">
        <f>HYPERLINK("[N&amp;P with New retention and Differentiation.xlsx]'Lake P Results'!O360", 2.838)</f>
        <v>2.8380000000000001</v>
      </c>
      <c r="BD814" s="18"/>
      <c r="BE814" s="46">
        <f>BC814-BA814</f>
        <v>0.27400000000000002</v>
      </c>
      <c r="BF814" s="27">
        <f>HYPERLINK("[N&amp;P Old retention.xlsx]'Lake P Results'!R360", 0.28)</f>
        <v>0.28000000000000003</v>
      </c>
      <c r="BG814" s="27">
        <f>HYPERLINK("[N&amp;P New retention.xlsx]'Lake P Results'!R360", 11.636)</f>
        <v>11.635999999999999</v>
      </c>
      <c r="BH814" s="27">
        <f>HYPERLINK("[N&amp;P with New retention and Differentiation.xlsx]'Lake P Results'!R360", 10.626)</f>
        <v>10.625999999999999</v>
      </c>
      <c r="BI814" s="46">
        <f>BG814-BF814</f>
        <v>11.356</v>
      </c>
      <c r="BJ814" s="46">
        <f>BH814-BF814</f>
        <v>10.346</v>
      </c>
      <c r="BK814" s="18"/>
      <c r="BL814" s="18"/>
      <c r="BM814" s="18"/>
      <c r="BN814" s="18"/>
      <c r="BO814" s="18"/>
    </row>
    <row r="815" spans="1:67" x14ac:dyDescent="0.55000000000000004">
      <c r="A815" s="31">
        <v>851</v>
      </c>
      <c r="B815" s="5" t="s">
        <v>666</v>
      </c>
      <c r="C815" s="13"/>
      <c r="D815" s="13"/>
      <c r="E815" s="13"/>
      <c r="F815" s="13"/>
      <c r="G815" s="13"/>
      <c r="H815" s="28">
        <f>HYPERLINK("[N&amp;P Old retention.xlsx]'Lake P Results'!AM361", 3000)</f>
        <v>3000</v>
      </c>
      <c r="I815" s="28">
        <f>HYPERLINK("[N&amp;P New retention.xlsx]'Lake P Results'!AM361", 3200)</f>
        <v>3200</v>
      </c>
      <c r="J815" s="28">
        <f>HYPERLINK("[N&amp;P with New retention and Differentiation.xlsx]'Lake P Results'!AM361", 3100)</f>
        <v>3100</v>
      </c>
      <c r="K815" s="16">
        <f>I815-H815</f>
        <v>200</v>
      </c>
      <c r="L815" s="16">
        <f>J815-H815</f>
        <v>100</v>
      </c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29">
        <f>HYPERLINK("[N&amp;P Old retention.xlsx]'Lake P Results'!M361", 2.01)</f>
        <v>2.0099999999999998</v>
      </c>
      <c r="AW815" s="29">
        <f>HYPERLINK("[N&amp;P New retention.xlsx]'Lake P Results'!M361", 6.31)</f>
        <v>6.31</v>
      </c>
      <c r="AX815" s="13"/>
      <c r="AY815" s="46">
        <f>AW815-AV815</f>
        <v>4.3</v>
      </c>
      <c r="AZ815" s="47">
        <f>AX815-AV815</f>
        <v>-2.0099999999999998</v>
      </c>
      <c r="BA815" s="13"/>
      <c r="BB815" s="13"/>
      <c r="BC815" s="29">
        <f>HYPERLINK("[N&amp;P with New retention and Differentiation.xlsx]'Lake P Results'!O361", 6.31)</f>
        <v>6.31</v>
      </c>
      <c r="BD815" s="13"/>
      <c r="BE815" s="46">
        <f>BC815-BA815</f>
        <v>6.31</v>
      </c>
      <c r="BF815" s="13"/>
      <c r="BG815" s="13"/>
      <c r="BH815" s="13"/>
      <c r="BI815" s="13"/>
      <c r="BJ815" s="13"/>
      <c r="BK815" s="29">
        <f>HYPERLINK("[N&amp;P Old retention.xlsx]'Lake P Results'!Q361", 0.48)</f>
        <v>0.48</v>
      </c>
      <c r="BL815" s="29">
        <f>HYPERLINK("[N&amp;P New retention.xlsx]'Lake P Results'!Q361", 1.59)</f>
        <v>1.59</v>
      </c>
      <c r="BM815" s="29">
        <f>HYPERLINK("[N&amp;P with New retention and Differentiation.xlsx]'Lake P Results'!Q361", 1.59)</f>
        <v>1.59</v>
      </c>
      <c r="BN815" s="46">
        <f>BL815-BK815</f>
        <v>1.1100000000000001</v>
      </c>
      <c r="BO815" s="46">
        <f>BM815-BK815</f>
        <v>1.1100000000000001</v>
      </c>
    </row>
    <row r="816" spans="1:67" x14ac:dyDescent="0.55000000000000004">
      <c r="A816" s="30">
        <v>852</v>
      </c>
      <c r="B816" s="6" t="s">
        <v>667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</row>
    <row r="817" spans="1:67" x14ac:dyDescent="0.55000000000000004">
      <c r="A817" s="31">
        <v>856</v>
      </c>
      <c r="B817" s="5" t="s">
        <v>668</v>
      </c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29">
        <f>HYPERLINK("[N&amp;P Old retention.xlsx]'Lake P Results'!R363", 0.03)</f>
        <v>0.03</v>
      </c>
      <c r="BG817" s="29">
        <f>HYPERLINK("[N&amp;P New retention.xlsx]'Lake P Results'!R363", 0.03)</f>
        <v>0.03</v>
      </c>
      <c r="BH817" s="29">
        <f>HYPERLINK("[N&amp;P with New retention and Differentiation.xlsx]'Lake P Results'!R363", 0.03)</f>
        <v>0.03</v>
      </c>
      <c r="BI817" s="13"/>
      <c r="BJ817" s="13"/>
      <c r="BK817" s="13"/>
      <c r="BL817" s="13"/>
      <c r="BM817" s="13"/>
      <c r="BN817" s="13"/>
      <c r="BO817" s="13"/>
    </row>
    <row r="818" spans="1:67" x14ac:dyDescent="0.55000000000000004">
      <c r="A818" s="30">
        <v>858</v>
      </c>
      <c r="B818" s="6" t="s">
        <v>669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</row>
    <row r="819" spans="1:67" x14ac:dyDescent="0.55000000000000004">
      <c r="A819" s="31">
        <v>861</v>
      </c>
      <c r="B819" s="5" t="s">
        <v>670</v>
      </c>
      <c r="C819" s="13"/>
      <c r="D819" s="13"/>
      <c r="E819" s="13"/>
      <c r="F819" s="13"/>
      <c r="G819" s="13"/>
      <c r="H819" s="28">
        <f>HYPERLINK("[N&amp;P Old retention.xlsx]'Lake P Results'!AM365", 2700)</f>
        <v>2700</v>
      </c>
      <c r="I819" s="28">
        <f>HYPERLINK("[N&amp;P New retention.xlsx]'Lake P Results'!AM365", 2700)</f>
        <v>2700</v>
      </c>
      <c r="J819" s="28">
        <f>HYPERLINK("[N&amp;P with New retention and Differentiation.xlsx]'Lake P Results'!AM365", 2700)</f>
        <v>2700</v>
      </c>
      <c r="K819" s="13"/>
      <c r="L819" s="13"/>
      <c r="M819" s="29">
        <f>HYPERLINK("[N&amp;P Old retention.xlsx]'Lake P Results'!AC365", 12.05)</f>
        <v>12.05</v>
      </c>
      <c r="N819" s="29">
        <f>HYPERLINK("[N&amp;P New retention.xlsx]'Lake P Results'!AC365", 12.05)</f>
        <v>12.05</v>
      </c>
      <c r="O819" s="29">
        <f>HYPERLINK("[N&amp;P with New retention and Differentiation.xlsx]'Lake P Results'!AC365", 12.05)</f>
        <v>12.05</v>
      </c>
      <c r="P819" s="13"/>
      <c r="Q819" s="13"/>
      <c r="R819" s="29">
        <f>HYPERLINK("[N&amp;P Old retention.xlsx]'Lake P Results'!Y365", 27.09)</f>
        <v>27.09</v>
      </c>
      <c r="S819" s="29">
        <f>HYPERLINK("[N&amp;P New retention.xlsx]'Lake P Results'!Y365", 32.15)</f>
        <v>32.15</v>
      </c>
      <c r="T819" s="29">
        <f>HYPERLINK("[N&amp;P with New retention and Differentiation.xlsx]'Lake P Results'!Y365", 31.54)</f>
        <v>31.54</v>
      </c>
      <c r="U819" s="46">
        <f>S819-R819</f>
        <v>5.0599999999999987</v>
      </c>
      <c r="V819" s="46">
        <f>T819-R819</f>
        <v>4.4499999999999993</v>
      </c>
      <c r="W819" s="29">
        <f>HYPERLINK("[N&amp;P Old retention.xlsx]'Lake P Results'!V365", 16.65)</f>
        <v>16.649999999999999</v>
      </c>
      <c r="X819" s="29">
        <f>HYPERLINK("[N&amp;P New retention.xlsx]'Lake P Results'!V365", 16.65)</f>
        <v>16.649999999999999</v>
      </c>
      <c r="Y819" s="29">
        <f>HYPERLINK("[N&amp;P with New retention and Differentiation.xlsx]'Lake P Results'!V365", 16.65)</f>
        <v>16.649999999999999</v>
      </c>
      <c r="Z819" s="13"/>
      <c r="AA819" s="13"/>
      <c r="AB819" s="29">
        <f>HYPERLINK("[N&amp;P Old retention.xlsx]'Lake P Results'!Z365", 15.2)</f>
        <v>15.2</v>
      </c>
      <c r="AC819" s="29">
        <f>HYPERLINK("[N&amp;P New retention.xlsx]'Lake P Results'!Z365", 10.14)</f>
        <v>10.14</v>
      </c>
      <c r="AD819" s="29">
        <f>HYPERLINK("[N&amp;P with New retention and Differentiation.xlsx]'Lake P Results'!Z365", 10.75)</f>
        <v>10.75</v>
      </c>
      <c r="AE819" s="47">
        <f>AC819-AB819</f>
        <v>-5.0599999999999987</v>
      </c>
      <c r="AF819" s="47">
        <f>AD819-AB819</f>
        <v>-4.4499999999999993</v>
      </c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28">
        <f>HYPERLINK("[N&amp;P Old retention.xlsx]'Lake P Results'!AH365", 20)</f>
        <v>20</v>
      </c>
      <c r="AR819" s="28">
        <f>HYPERLINK("[N&amp;P New retention.xlsx]'Lake P Results'!AH365", 20)</f>
        <v>20</v>
      </c>
      <c r="AS819" s="28">
        <f>HYPERLINK("[N&amp;P with New retention and Differentiation.xlsx]'Lake P Results'!AH365", 20)</f>
        <v>20</v>
      </c>
      <c r="AT819" s="13"/>
      <c r="AU819" s="13"/>
      <c r="AV819" s="29">
        <f>HYPERLINK("[N&amp;P Old retention.xlsx]'Lake P Results'!M365", 23.74)</f>
        <v>23.74</v>
      </c>
      <c r="AW819" s="29">
        <f>HYPERLINK("[N&amp;P New retention.xlsx]'Lake P Results'!M365", 23.74)</f>
        <v>23.74</v>
      </c>
      <c r="AX819" s="13"/>
      <c r="AY819" s="13"/>
      <c r="AZ819" s="47">
        <f>AX819-AV819</f>
        <v>-23.74</v>
      </c>
      <c r="BA819" s="29">
        <f>HYPERLINK("[N&amp;P Old retention.xlsx]'Lake P Results'!O365", 41.192)</f>
        <v>41.192</v>
      </c>
      <c r="BB819" s="29">
        <f>HYPERLINK("[N&amp;P New retention.xlsx]'Lake P Results'!O365", 41.192)</f>
        <v>41.192</v>
      </c>
      <c r="BC819" s="29">
        <f>HYPERLINK("[N&amp;P with New retention and Differentiation.xlsx]'Lake P Results'!O365", 64.932)</f>
        <v>64.932000000000002</v>
      </c>
      <c r="BD819" s="13"/>
      <c r="BE819" s="46">
        <f>BC819-BA819</f>
        <v>23.740000000000002</v>
      </c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</row>
    <row r="820" spans="1:67" x14ac:dyDescent="0.55000000000000004">
      <c r="A820" s="30">
        <v>863</v>
      </c>
      <c r="B820" s="6" t="s">
        <v>671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</row>
    <row r="821" spans="1:67" x14ac:dyDescent="0.55000000000000004">
      <c r="A821" s="31">
        <v>867</v>
      </c>
      <c r="B821" s="5" t="s">
        <v>672</v>
      </c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29">
        <f>HYPERLINK("[N&amp;P Old retention.xlsx]'Lake P Results'!R367", 0.2)</f>
        <v>0.2</v>
      </c>
      <c r="BG821" s="29">
        <f>HYPERLINK("[N&amp;P New retention.xlsx]'Lake P Results'!R367", 0.0499999999999999)</f>
        <v>4.9999999999999899E-2</v>
      </c>
      <c r="BH821" s="29">
        <f>HYPERLINK("[N&amp;P with New retention and Differentiation.xlsx]'Lake P Results'!R367", 0.0499999999999999)</f>
        <v>4.9999999999999899E-2</v>
      </c>
      <c r="BI821" s="47">
        <f>BG821-BF821</f>
        <v>-0.15000000000000011</v>
      </c>
      <c r="BJ821" s="47">
        <f>BH821-BF821</f>
        <v>-0.15000000000000011</v>
      </c>
      <c r="BK821" s="13"/>
      <c r="BL821" s="13"/>
      <c r="BM821" s="13"/>
      <c r="BN821" s="13"/>
      <c r="BO821" s="13"/>
    </row>
    <row r="822" spans="1:67" x14ac:dyDescent="0.55000000000000004">
      <c r="A822" s="30">
        <v>868</v>
      </c>
      <c r="B822" s="6" t="s">
        <v>673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</row>
    <row r="823" spans="1:67" x14ac:dyDescent="0.55000000000000004">
      <c r="A823" s="31">
        <v>869</v>
      </c>
      <c r="B823" s="5" t="s">
        <v>674</v>
      </c>
      <c r="C823" s="13"/>
      <c r="D823" s="13"/>
      <c r="E823" s="13"/>
      <c r="F823" s="13"/>
      <c r="G823" s="13"/>
      <c r="H823" s="13"/>
      <c r="I823" s="28">
        <f>HYPERLINK("[N&amp;P New retention.xlsx]'Lake P Results'!AM369", 100)</f>
        <v>100</v>
      </c>
      <c r="J823" s="13"/>
      <c r="K823" s="16">
        <f>I823-H823</f>
        <v>100</v>
      </c>
      <c r="L823" s="13"/>
      <c r="M823" s="13"/>
      <c r="N823" s="13"/>
      <c r="O823" s="29">
        <f>HYPERLINK("[N&amp;P with New retention and Differentiation.xlsx]'Lake P Results'!AC369", 0.74)</f>
        <v>0.74</v>
      </c>
      <c r="P823" s="13"/>
      <c r="Q823" s="46">
        <f>O823-M823</f>
        <v>0.74</v>
      </c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29">
        <f>HYPERLINK("[N&amp;P with New retention and Differentiation.xlsx]'Lake P Results'!Z369", 0.0039999968573217)</f>
        <v>3.9999968573217002E-3</v>
      </c>
      <c r="AE823" s="13"/>
      <c r="AF823" s="46">
        <f>AD823-AB823</f>
        <v>3.9999968573217002E-3</v>
      </c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29">
        <f>HYPERLINK("[N&amp;P Old retention.xlsx]'Lake P Results'!O369", 0.004)</f>
        <v>4.0000000000000001E-3</v>
      </c>
      <c r="BB823" s="29">
        <f>HYPERLINK("[N&amp;P New retention.xlsx]'Lake P Results'!O369", 0.004)</f>
        <v>4.0000000000000001E-3</v>
      </c>
      <c r="BC823" s="13"/>
      <c r="BD823" s="13"/>
      <c r="BE823" s="47">
        <f>BC823-BA823</f>
        <v>-4.0000000000000001E-3</v>
      </c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</row>
    <row r="824" spans="1:67" x14ac:dyDescent="0.55000000000000004">
      <c r="A824" s="30">
        <v>870</v>
      </c>
      <c r="B824" s="6" t="s">
        <v>675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</row>
    <row r="825" spans="1:67" x14ac:dyDescent="0.55000000000000004">
      <c r="A825" s="31">
        <v>871</v>
      </c>
      <c r="B825" s="5" t="s">
        <v>676</v>
      </c>
      <c r="C825" s="29">
        <f>HYPERLINK("[N&amp;P Old retention.xlsx]'Lake P Results'!AE371", 30.104)</f>
        <v>30.103999999999999</v>
      </c>
      <c r="D825" s="29">
        <f>HYPERLINK("[N&amp;P New retention.xlsx]'Lake P Results'!AE371", 30.634)</f>
        <v>30.634</v>
      </c>
      <c r="E825" s="29">
        <f>HYPERLINK("[N&amp;P with New retention and Differentiation.xlsx]'Lake P Results'!AE371", 30.034)</f>
        <v>30.033999999999999</v>
      </c>
      <c r="F825" s="46">
        <f>D825-C825</f>
        <v>0.53000000000000114</v>
      </c>
      <c r="G825" s="47">
        <f>E825-C825</f>
        <v>-7.0000000000000284E-2</v>
      </c>
      <c r="H825" s="28">
        <f>HYPERLINK("[N&amp;P Old retention.xlsx]'Lake P Results'!AM371", 32200)</f>
        <v>32200</v>
      </c>
      <c r="I825" s="28">
        <f>HYPERLINK("[N&amp;P New retention.xlsx]'Lake P Results'!AM371", 31600)</f>
        <v>31600</v>
      </c>
      <c r="J825" s="28">
        <f>HYPERLINK("[N&amp;P with New retention and Differentiation.xlsx]'Lake P Results'!AM371", 32400)</f>
        <v>32400</v>
      </c>
      <c r="K825" s="21">
        <f>I825-H825</f>
        <v>-600</v>
      </c>
      <c r="L825" s="16">
        <f>J825-H825</f>
        <v>200</v>
      </c>
      <c r="M825" s="29">
        <f>HYPERLINK("[N&amp;P Old retention.xlsx]'Lake P Results'!AC371", 20.7)</f>
        <v>20.7</v>
      </c>
      <c r="N825" s="13"/>
      <c r="O825" s="13"/>
      <c r="P825" s="47">
        <f>N825-M825</f>
        <v>-20.7</v>
      </c>
      <c r="Q825" s="47">
        <f>O825-M825</f>
        <v>-20.7</v>
      </c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29">
        <f>HYPERLINK("[N&amp;P Old retention.xlsx]'Lake P Results'!R371", 381.504)</f>
        <v>381.50400000000002</v>
      </c>
      <c r="BG825" s="29">
        <f>HYPERLINK("[N&amp;P New retention.xlsx]'Lake P Results'!R371", 390.984)</f>
        <v>390.98399999999998</v>
      </c>
      <c r="BH825" s="29">
        <f>HYPERLINK("[N&amp;P with New retention and Differentiation.xlsx]'Lake P Results'!R371", 390.984)</f>
        <v>390.98399999999998</v>
      </c>
      <c r="BI825" s="46">
        <f>BG825-BF825</f>
        <v>9.4799999999999613</v>
      </c>
      <c r="BJ825" s="46">
        <f>BH825-BF825</f>
        <v>9.4799999999999613</v>
      </c>
      <c r="BK825" s="13"/>
      <c r="BL825" s="13"/>
      <c r="BM825" s="13"/>
      <c r="BN825" s="13"/>
      <c r="BO825" s="13"/>
    </row>
    <row r="826" spans="1:67" x14ac:dyDescent="0.55000000000000004">
      <c r="A826" s="30">
        <v>872</v>
      </c>
      <c r="B826" s="6" t="s">
        <v>677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</row>
    <row r="827" spans="1:67" x14ac:dyDescent="0.55000000000000004">
      <c r="A827" s="31">
        <v>873</v>
      </c>
      <c r="B827" s="5" t="s">
        <v>678</v>
      </c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</row>
    <row r="828" spans="1:67" x14ac:dyDescent="0.55000000000000004">
      <c r="A828" s="30">
        <v>874</v>
      </c>
      <c r="B828" s="6" t="s">
        <v>679</v>
      </c>
      <c r="C828" s="27">
        <f>HYPERLINK("[N&amp;P Old retention.xlsx]'Lake P Results'!AE374", 0.0999999999999997)</f>
        <v>9.99999999999997E-2</v>
      </c>
      <c r="D828" s="27">
        <f>HYPERLINK("[N&amp;P New retention.xlsx]'Lake P Results'!AE374", 0.0999999999999997)</f>
        <v>9.99999999999997E-2</v>
      </c>
      <c r="E828" s="27">
        <f>HYPERLINK("[N&amp;P with New retention and Differentiation.xlsx]'Lake P Results'!AE374", 0.0999999999999997)</f>
        <v>9.99999999999997E-2</v>
      </c>
      <c r="F828" s="18"/>
      <c r="G828" s="18"/>
      <c r="H828" s="26">
        <f>HYPERLINK("[N&amp;P Old retention.xlsx]'Lake P Results'!AM374", 600)</f>
        <v>600</v>
      </c>
      <c r="I828" s="26">
        <f>HYPERLINK("[N&amp;P New retention.xlsx]'Lake P Results'!AM374", 600)</f>
        <v>600</v>
      </c>
      <c r="J828" s="26">
        <f>HYPERLINK("[N&amp;P with New retention and Differentiation.xlsx]'Lake P Results'!AM374", 600)</f>
        <v>600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27">
        <f>HYPERLINK("[N&amp;P Old retention.xlsx]'Lake P Results'!M374", 7.48)</f>
        <v>7.48</v>
      </c>
      <c r="AW828" s="27">
        <f>HYPERLINK("[N&amp;P New retention.xlsx]'Lake P Results'!M374", 7.48)</f>
        <v>7.48</v>
      </c>
      <c r="AX828" s="18"/>
      <c r="AY828" s="18"/>
      <c r="AZ828" s="47">
        <f>AX828-AV828</f>
        <v>-7.48</v>
      </c>
      <c r="BA828" s="27">
        <f>HYPERLINK("[N&amp;P Old retention.xlsx]'Lake P Results'!O374", 8.61)</f>
        <v>8.61</v>
      </c>
      <c r="BB828" s="27">
        <f>HYPERLINK("[N&amp;P New retention.xlsx]'Lake P Results'!O374", 8.61)</f>
        <v>8.61</v>
      </c>
      <c r="BC828" s="27">
        <f>HYPERLINK("[N&amp;P with New retention and Differentiation.xlsx]'Lake P Results'!O374", 16.09)</f>
        <v>16.09</v>
      </c>
      <c r="BD828" s="18"/>
      <c r="BE828" s="46">
        <f>BC828-BA828</f>
        <v>7.48</v>
      </c>
      <c r="BF828" s="27">
        <f>HYPERLINK("[N&amp;P Old retention.xlsx]'Lake P Results'!R374", 6.526)</f>
        <v>6.5259999999999998</v>
      </c>
      <c r="BG828" s="27">
        <f>HYPERLINK("[N&amp;P New retention.xlsx]'Lake P Results'!R374", 7.086)</f>
        <v>7.0860000000000003</v>
      </c>
      <c r="BH828" s="27">
        <f>HYPERLINK("[N&amp;P with New retention and Differentiation.xlsx]'Lake P Results'!R374", 7.086)</f>
        <v>7.0860000000000003</v>
      </c>
      <c r="BI828" s="46">
        <f>BG828-BF828</f>
        <v>0.5600000000000005</v>
      </c>
      <c r="BJ828" s="46">
        <f>BH828-BF828</f>
        <v>0.5600000000000005</v>
      </c>
      <c r="BK828" s="18"/>
      <c r="BL828" s="18"/>
      <c r="BM828" s="18"/>
      <c r="BN828" s="18"/>
      <c r="BO828" s="18"/>
    </row>
    <row r="829" spans="1:67" x14ac:dyDescent="0.55000000000000004">
      <c r="A829" s="31">
        <v>875</v>
      </c>
      <c r="B829" s="5" t="s">
        <v>680</v>
      </c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</row>
    <row r="830" spans="1:67" x14ac:dyDescent="0.55000000000000004">
      <c r="A830" s="30">
        <v>878</v>
      </c>
      <c r="B830" s="6" t="s">
        <v>681</v>
      </c>
      <c r="C830" s="18"/>
      <c r="D830" s="18"/>
      <c r="E830" s="18"/>
      <c r="F830" s="18"/>
      <c r="G830" s="18"/>
      <c r="H830" s="26">
        <f>HYPERLINK("[N&amp;P Old retention.xlsx]'Lake P Results'!AM376", 200)</f>
        <v>200</v>
      </c>
      <c r="I830" s="26">
        <f>HYPERLINK("[N&amp;P New retention.xlsx]'Lake P Results'!AM376", 200)</f>
        <v>200</v>
      </c>
      <c r="J830" s="26">
        <f>HYPERLINK("[N&amp;P with New retention and Differentiation.xlsx]'Lake P Results'!AM376", 200)</f>
        <v>200</v>
      </c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</row>
    <row r="831" spans="1:67" x14ac:dyDescent="0.55000000000000004">
      <c r="A831" s="31">
        <v>882</v>
      </c>
      <c r="B831" s="5" t="s">
        <v>682</v>
      </c>
      <c r="C831" s="29">
        <f>HYPERLINK("[N&amp;P Old retention.xlsx]'Lake P Results'!AE377", 3.31999999999999)</f>
        <v>3.3199999999999901</v>
      </c>
      <c r="D831" s="29">
        <f>HYPERLINK("[N&amp;P New retention.xlsx]'Lake P Results'!AE377", 3.31999999999999)</f>
        <v>3.3199999999999901</v>
      </c>
      <c r="E831" s="29">
        <f>HYPERLINK("[N&amp;P with New retention and Differentiation.xlsx]'Lake P Results'!AE377", 3.31999999999999)</f>
        <v>3.3199999999999901</v>
      </c>
      <c r="F831" s="13"/>
      <c r="G831" s="13"/>
      <c r="H831" s="28">
        <f>HYPERLINK("[N&amp;P Old retention.xlsx]'Lake P Results'!AM377", 1800)</f>
        <v>1800</v>
      </c>
      <c r="I831" s="28">
        <f>HYPERLINK("[N&amp;P New retention.xlsx]'Lake P Results'!AM377", 1900)</f>
        <v>1900</v>
      </c>
      <c r="J831" s="28">
        <f>HYPERLINK("[N&amp;P with New retention and Differentiation.xlsx]'Lake P Results'!AM377", 1600)</f>
        <v>1600</v>
      </c>
      <c r="K831" s="16">
        <f>I831-H831</f>
        <v>100</v>
      </c>
      <c r="L831" s="21">
        <f>J831-H831</f>
        <v>-200</v>
      </c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29">
        <f>HYPERLINK("[N&amp;P New retention.xlsx]'Lake P Results'!R377", 0.15)</f>
        <v>0.15</v>
      </c>
      <c r="BH831" s="29">
        <f>HYPERLINK("[N&amp;P with New retention and Differentiation.xlsx]'Lake P Results'!R377", 0.15)</f>
        <v>0.15</v>
      </c>
      <c r="BI831" s="46">
        <f>BG831-BF831</f>
        <v>0.15</v>
      </c>
      <c r="BJ831" s="46">
        <f>BH831-BF831</f>
        <v>0.15</v>
      </c>
      <c r="BK831" s="13"/>
      <c r="BL831" s="13"/>
      <c r="BM831" s="13"/>
      <c r="BN831" s="13"/>
      <c r="BO831" s="13"/>
    </row>
    <row r="832" spans="1:67" x14ac:dyDescent="0.55000000000000004">
      <c r="A832" s="30">
        <v>883</v>
      </c>
      <c r="B832" s="6" t="s">
        <v>683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</row>
    <row r="833" spans="1:67" x14ac:dyDescent="0.55000000000000004">
      <c r="A833" s="31">
        <v>884</v>
      </c>
      <c r="B833" s="5" t="s">
        <v>684</v>
      </c>
      <c r="C833" s="13"/>
      <c r="D833" s="13"/>
      <c r="E833" s="13"/>
      <c r="F833" s="13"/>
      <c r="G833" s="13"/>
      <c r="H833" s="28">
        <f>HYPERLINK("[N&amp;P Old retention.xlsx]'Lake P Results'!AM379", 300)</f>
        <v>300</v>
      </c>
      <c r="I833" s="28">
        <f>HYPERLINK("[N&amp;P New retention.xlsx]'Lake P Results'!AM379", 400)</f>
        <v>400</v>
      </c>
      <c r="J833" s="28">
        <f>HYPERLINK("[N&amp;P with New retention and Differentiation.xlsx]'Lake P Results'!AM379", 400)</f>
        <v>400</v>
      </c>
      <c r="K833" s="16">
        <f>I833-H833</f>
        <v>100</v>
      </c>
      <c r="L833" s="16">
        <f>J833-H833</f>
        <v>100</v>
      </c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</row>
    <row r="834" spans="1:67" x14ac:dyDescent="0.55000000000000004">
      <c r="A834" s="30">
        <v>887</v>
      </c>
      <c r="B834" s="6" t="s">
        <v>685</v>
      </c>
      <c r="C834" s="18"/>
      <c r="D834" s="18"/>
      <c r="E834" s="18"/>
      <c r="F834" s="18"/>
      <c r="G834" s="18"/>
      <c r="H834" s="26">
        <f>HYPERLINK("[N&amp;P Old retention.xlsx]'Lake P Results'!AM380", 200)</f>
        <v>200</v>
      </c>
      <c r="I834" s="26">
        <f>HYPERLINK("[N&amp;P New retention.xlsx]'Lake P Results'!AM380", 200)</f>
        <v>200</v>
      </c>
      <c r="J834" s="26">
        <f>HYPERLINK("[N&amp;P with New retention and Differentiation.xlsx]'Lake P Results'!AM380", 200)</f>
        <v>200</v>
      </c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</row>
    <row r="835" spans="1:67" x14ac:dyDescent="0.55000000000000004">
      <c r="A835" s="31">
        <v>888</v>
      </c>
      <c r="B835" s="5" t="s">
        <v>686</v>
      </c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29">
        <f>HYPERLINK("[N&amp;P Old retention.xlsx]'Lake P Results'!O381", 0.87)</f>
        <v>0.87</v>
      </c>
      <c r="BB835" s="29">
        <f>HYPERLINK("[N&amp;P New retention.xlsx]'Lake P Results'!O381", 0.87)</f>
        <v>0.87</v>
      </c>
      <c r="BC835" s="29">
        <f>HYPERLINK("[N&amp;P with New retention and Differentiation.xlsx]'Lake P Results'!O381", 0.87)</f>
        <v>0.87</v>
      </c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</row>
    <row r="836" spans="1:67" x14ac:dyDescent="0.55000000000000004">
      <c r="A836" s="30">
        <v>889</v>
      </c>
      <c r="B836" s="6" t="s">
        <v>687</v>
      </c>
      <c r="C836" s="18"/>
      <c r="D836" s="18"/>
      <c r="E836" s="18"/>
      <c r="F836" s="18"/>
      <c r="G836" s="18"/>
      <c r="H836" s="26">
        <f>HYPERLINK("[N&amp;P Old retention.xlsx]'Lake P Results'!AM382", 13400)</f>
        <v>13400</v>
      </c>
      <c r="I836" s="26">
        <f>HYPERLINK("[N&amp;P New retention.xlsx]'Lake P Results'!AM382", 13400)</f>
        <v>13400</v>
      </c>
      <c r="J836" s="26">
        <f>HYPERLINK("[N&amp;P with New retention and Differentiation.xlsx]'Lake P Results'!AM382", 13400)</f>
        <v>13400</v>
      </c>
      <c r="K836" s="18"/>
      <c r="L836" s="18"/>
      <c r="M836" s="27">
        <f>HYPERLINK("[N&amp;P Old retention.xlsx]'Lake P Results'!AC382", 2.36)</f>
        <v>2.36</v>
      </c>
      <c r="N836" s="27">
        <f>HYPERLINK("[N&amp;P New retention.xlsx]'Lake P Results'!AC382", 2.36)</f>
        <v>2.36</v>
      </c>
      <c r="O836" s="27">
        <f>HYPERLINK("[N&amp;P with New retention and Differentiation.xlsx]'Lake P Results'!AC382", 2.36)</f>
        <v>2.36</v>
      </c>
      <c r="P836" s="18"/>
      <c r="Q836" s="18"/>
      <c r="R836" s="27">
        <f>HYPERLINK("[N&amp;P Old retention.xlsx]'Lake P Results'!Y382", 13.332)</f>
        <v>13.332000000000001</v>
      </c>
      <c r="S836" s="27">
        <f>HYPERLINK("[N&amp;P New retention.xlsx]'Lake P Results'!Y382", 16.022)</f>
        <v>16.021999999999998</v>
      </c>
      <c r="T836" s="27">
        <f>HYPERLINK("[N&amp;P with New retention and Differentiation.xlsx]'Lake P Results'!Y382", 16.022)</f>
        <v>16.021999999999998</v>
      </c>
      <c r="U836" s="46">
        <f>S836-R836</f>
        <v>2.6899999999999977</v>
      </c>
      <c r="V836" s="46">
        <f>T836-R836</f>
        <v>2.6899999999999977</v>
      </c>
      <c r="W836" s="27">
        <f>HYPERLINK("[N&amp;P Old retention.xlsx]'Lake P Results'!V382", 37.66)</f>
        <v>37.659999999999997</v>
      </c>
      <c r="X836" s="27">
        <f>HYPERLINK("[N&amp;P New retention.xlsx]'Lake P Results'!V382", 37.66)</f>
        <v>37.659999999999997</v>
      </c>
      <c r="Y836" s="27">
        <f>HYPERLINK("[N&amp;P with New retention and Differentiation.xlsx]'Lake P Results'!V382", 37.66)</f>
        <v>37.659999999999997</v>
      </c>
      <c r="Z836" s="18"/>
      <c r="AA836" s="18"/>
      <c r="AB836" s="27">
        <f>HYPERLINK("[N&amp;P Old retention.xlsx]'Lake P Results'!Z382", 2.69)</f>
        <v>2.69</v>
      </c>
      <c r="AC836" s="18"/>
      <c r="AD836" s="18"/>
      <c r="AE836" s="47">
        <f>AC836-AB836</f>
        <v>-2.69</v>
      </c>
      <c r="AF836" s="47">
        <f>AD836-AB836</f>
        <v>-2.69</v>
      </c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26">
        <f>HYPERLINK("[N&amp;P Old retention.xlsx]'Lake P Results'!AH382", 130)</f>
        <v>130</v>
      </c>
      <c r="AR836" s="26">
        <f>HYPERLINK("[N&amp;P New retention.xlsx]'Lake P Results'!AH382", 130)</f>
        <v>130</v>
      </c>
      <c r="AS836" s="26">
        <f>HYPERLINK("[N&amp;P with New retention and Differentiation.xlsx]'Lake P Results'!AH382", 130)</f>
        <v>130</v>
      </c>
      <c r="AT836" s="18"/>
      <c r="AU836" s="18"/>
      <c r="AV836" s="18"/>
      <c r="AW836" s="18"/>
      <c r="AX836" s="18"/>
      <c r="AY836" s="18"/>
      <c r="AZ836" s="18"/>
      <c r="BA836" s="27">
        <f>HYPERLINK("[N&amp;P Old retention.xlsx]'Lake P Results'!O382", 152.232)</f>
        <v>152.232</v>
      </c>
      <c r="BB836" s="27">
        <f>HYPERLINK("[N&amp;P New retention.xlsx]'Lake P Results'!O382", 152.232)</f>
        <v>152.232</v>
      </c>
      <c r="BC836" s="27">
        <f>HYPERLINK("[N&amp;P with New retention and Differentiation.xlsx]'Lake P Results'!O382", 152.232)</f>
        <v>152.232</v>
      </c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</row>
    <row r="837" spans="1:67" x14ac:dyDescent="0.55000000000000004">
      <c r="A837" s="31">
        <v>893</v>
      </c>
      <c r="B837" s="5" t="s">
        <v>688</v>
      </c>
      <c r="C837" s="13"/>
      <c r="D837" s="13"/>
      <c r="E837" s="13"/>
      <c r="F837" s="13"/>
      <c r="G837" s="13"/>
      <c r="H837" s="28">
        <f>HYPERLINK("[N&amp;P Old retention.xlsx]'Lake P Results'!AM383", 1100)</f>
        <v>1100</v>
      </c>
      <c r="I837" s="28">
        <f>HYPERLINK("[N&amp;P New retention.xlsx]'Lake P Results'!AM383", 1100)</f>
        <v>1100</v>
      </c>
      <c r="J837" s="28">
        <f>HYPERLINK("[N&amp;P with New retention and Differentiation.xlsx]'Lake P Results'!AM383", 1100)</f>
        <v>1100</v>
      </c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29">
        <f>HYPERLINK("[N&amp;P Old retention.xlsx]'Lake P Results'!O383", 12.22)</f>
        <v>12.22</v>
      </c>
      <c r="BB837" s="29">
        <f>HYPERLINK("[N&amp;P New retention.xlsx]'Lake P Results'!O383", 12.22)</f>
        <v>12.22</v>
      </c>
      <c r="BC837" s="29">
        <f>HYPERLINK("[N&amp;P with New retention and Differentiation.xlsx]'Lake P Results'!O383", 12.22)</f>
        <v>12.22</v>
      </c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</row>
    <row r="838" spans="1:67" x14ac:dyDescent="0.55000000000000004">
      <c r="A838" s="30">
        <v>896</v>
      </c>
      <c r="B838" s="6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27">
        <f>HYPERLINK("[N&amp;P Old retention.xlsx]'Lake P Results'!M384", 9.61)</f>
        <v>9.61</v>
      </c>
      <c r="AW838" s="27">
        <f>HYPERLINK("[N&amp;P New retention.xlsx]'Lake P Results'!M384", 9.61)</f>
        <v>9.61</v>
      </c>
      <c r="AX838" s="18"/>
      <c r="AY838" s="18"/>
      <c r="AZ838" s="47">
        <f>AX838-AV838</f>
        <v>-9.61</v>
      </c>
      <c r="BA838" s="27">
        <f>HYPERLINK("[N&amp;P Old retention.xlsx]'Lake P Results'!O384", 18.154)</f>
        <v>18.154</v>
      </c>
      <c r="BB838" s="27">
        <f>HYPERLINK("[N&amp;P New retention.xlsx]'Lake P Results'!O384", 18.154)</f>
        <v>18.154</v>
      </c>
      <c r="BC838" s="27">
        <f>HYPERLINK("[N&amp;P with New retention and Differentiation.xlsx]'Lake P Results'!O384", 27.764)</f>
        <v>27.763999999999999</v>
      </c>
      <c r="BD838" s="18"/>
      <c r="BE838" s="46">
        <f>BC838-BA838</f>
        <v>9.61</v>
      </c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</row>
    <row r="839" spans="1:67" x14ac:dyDescent="0.55000000000000004">
      <c r="A839" s="31">
        <v>899</v>
      </c>
      <c r="B839" s="5" t="s">
        <v>689</v>
      </c>
      <c r="C839" s="29">
        <f>HYPERLINK("[N&amp;P Old retention.xlsx]'Lake P Results'!AE385", 0.650000000000001)</f>
        <v>0.65000000000000102</v>
      </c>
      <c r="D839" s="29">
        <f>HYPERLINK("[N&amp;P New retention.xlsx]'Lake P Results'!AE385", 0.650000000000001)</f>
        <v>0.65000000000000102</v>
      </c>
      <c r="E839" s="29">
        <f>HYPERLINK("[N&amp;P with New retention and Differentiation.xlsx]'Lake P Results'!AE385", 0.670000000000001)</f>
        <v>0.67000000000000104</v>
      </c>
      <c r="F839" s="13"/>
      <c r="G839" s="46">
        <f>E839-C839</f>
        <v>2.0000000000000018E-2</v>
      </c>
      <c r="H839" s="28">
        <f>HYPERLINK("[N&amp;P Old retention.xlsx]'Lake P Results'!AM385", 4500)</f>
        <v>4500</v>
      </c>
      <c r="I839" s="28">
        <f>HYPERLINK("[N&amp;P New retention.xlsx]'Lake P Results'!AM385", 4300)</f>
        <v>4300</v>
      </c>
      <c r="J839" s="28">
        <f>HYPERLINK("[N&amp;P with New retention and Differentiation.xlsx]'Lake P Results'!AM385", 4600)</f>
        <v>4600</v>
      </c>
      <c r="K839" s="21">
        <f>I839-H839</f>
        <v>-200</v>
      </c>
      <c r="L839" s="16">
        <f>J839-H839</f>
        <v>100</v>
      </c>
      <c r="M839" s="29">
        <f>HYPERLINK("[N&amp;P Old retention.xlsx]'Lake P Results'!AC385", 153.784)</f>
        <v>153.78399999999999</v>
      </c>
      <c r="N839" s="29">
        <f>HYPERLINK("[N&amp;P New retention.xlsx]'Lake P Results'!AC385", 160.634)</f>
        <v>160.63399999999999</v>
      </c>
      <c r="O839" s="29">
        <f>HYPERLINK("[N&amp;P with New retention and Differentiation.xlsx]'Lake P Results'!AC385", 122.144)</f>
        <v>122.14400000000001</v>
      </c>
      <c r="P839" s="46">
        <f>N839-M839</f>
        <v>6.8499999999999943</v>
      </c>
      <c r="Q839" s="47">
        <f>O839-M839</f>
        <v>-31.639999999999986</v>
      </c>
      <c r="R839" s="29">
        <f>HYPERLINK("[N&amp;P Old retention.xlsx]'Lake P Results'!Y385", 22.65)</f>
        <v>22.65</v>
      </c>
      <c r="S839" s="29">
        <f>HYPERLINK("[N&amp;P New retention.xlsx]'Lake P Results'!Y385", 20.8)</f>
        <v>20.8</v>
      </c>
      <c r="T839" s="29">
        <f>HYPERLINK("[N&amp;P with New retention and Differentiation.xlsx]'Lake P Results'!Y385", 14.64)</f>
        <v>14.64</v>
      </c>
      <c r="U839" s="47">
        <f>S839-R839</f>
        <v>-1.8499999999999979</v>
      </c>
      <c r="V839" s="47">
        <f>T839-R839</f>
        <v>-8.009999999999998</v>
      </c>
      <c r="W839" s="29">
        <f>HYPERLINK("[N&amp;P Old retention.xlsx]'Lake P Results'!V385", 22.23)</f>
        <v>22.23</v>
      </c>
      <c r="X839" s="29">
        <f>HYPERLINK("[N&amp;P New retention.xlsx]'Lake P Results'!V385", 22.23)</f>
        <v>22.23</v>
      </c>
      <c r="Y839" s="29">
        <f>HYPERLINK("[N&amp;P with New retention and Differentiation.xlsx]'Lake P Results'!V385", 22.23)</f>
        <v>22.23</v>
      </c>
      <c r="Z839" s="13"/>
      <c r="AA839" s="13"/>
      <c r="AB839" s="29">
        <f>HYPERLINK("[N&amp;P Old retention.xlsx]'Lake P Results'!Z385", 13.52)</f>
        <v>13.52</v>
      </c>
      <c r="AC839" s="29">
        <f>HYPERLINK("[N&amp;P New retention.xlsx]'Lake P Results'!Z385", 12.69)</f>
        <v>12.69</v>
      </c>
      <c r="AD839" s="29">
        <f>HYPERLINK("[N&amp;P with New retention and Differentiation.xlsx]'Lake P Results'!Z385", 30.97)</f>
        <v>30.97</v>
      </c>
      <c r="AE839" s="47">
        <f>AC839-AB839</f>
        <v>-0.83000000000000007</v>
      </c>
      <c r="AF839" s="46">
        <f>AD839-AB839</f>
        <v>17.45</v>
      </c>
      <c r="AG839" s="29">
        <f>HYPERLINK("[N&amp;P Old retention.xlsx]'Lake P Results'!AA385", 6.126)</f>
        <v>6.1260000000000003</v>
      </c>
      <c r="AH839" s="29">
        <f>HYPERLINK("[N&amp;P New retention.xlsx]'Lake P Results'!AA385", 6.126)</f>
        <v>6.1260000000000003</v>
      </c>
      <c r="AI839" s="29">
        <f>HYPERLINK("[N&amp;P with New retention and Differentiation.xlsx]'Lake P Results'!AA385", 6.126)</f>
        <v>6.1260000000000003</v>
      </c>
      <c r="AJ839" s="13"/>
      <c r="AK839" s="13"/>
      <c r="AL839" s="13"/>
      <c r="AM839" s="13"/>
      <c r="AN839" s="13"/>
      <c r="AO839" s="13"/>
      <c r="AP839" s="13"/>
      <c r="AQ839" s="28">
        <f>HYPERLINK("[N&amp;P Old retention.xlsx]'Lake P Results'!AH385", 250)</f>
        <v>250</v>
      </c>
      <c r="AR839" s="28">
        <f>HYPERLINK("[N&amp;P New retention.xlsx]'Lake P Results'!AH385", 250)</f>
        <v>250</v>
      </c>
      <c r="AS839" s="28">
        <f>HYPERLINK("[N&amp;P with New retention and Differentiation.xlsx]'Lake P Results'!AH385", 250)</f>
        <v>250</v>
      </c>
      <c r="AT839" s="13"/>
      <c r="AU839" s="13"/>
      <c r="AV839" s="29">
        <f>HYPERLINK("[N&amp;P Old retention.xlsx]'Lake P Results'!M385", 10.2)</f>
        <v>10.199999999999999</v>
      </c>
      <c r="AW839" s="29">
        <f>HYPERLINK("[N&amp;P New retention.xlsx]'Lake P Results'!M385", 10.2)</f>
        <v>10.199999999999999</v>
      </c>
      <c r="AX839" s="13"/>
      <c r="AY839" s="13"/>
      <c r="AZ839" s="47">
        <f>AX839-AV839</f>
        <v>-10.199999999999999</v>
      </c>
      <c r="BA839" s="13"/>
      <c r="BB839" s="13"/>
      <c r="BC839" s="29">
        <f>HYPERLINK("[N&amp;P with New retention and Differentiation.xlsx]'Lake P Results'!O385", 10.2)</f>
        <v>10.199999999999999</v>
      </c>
      <c r="BD839" s="13"/>
      <c r="BE839" s="46">
        <f>BC839-BA839</f>
        <v>10.199999999999999</v>
      </c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</row>
    <row r="840" spans="1:67" x14ac:dyDescent="0.55000000000000004">
      <c r="A840" s="30">
        <v>904</v>
      </c>
      <c r="B840" s="6" t="s">
        <v>690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27">
        <f>HYPERLINK("[N&amp;P Old retention.xlsx]'Lake P Results'!R386", 0.0699999999999999)</f>
        <v>6.9999999999999896E-2</v>
      </c>
      <c r="BG840" s="27">
        <f>HYPERLINK("[N&amp;P New retention.xlsx]'Lake P Results'!R386", 0.29)</f>
        <v>0.28999999999999998</v>
      </c>
      <c r="BH840" s="27">
        <f>HYPERLINK("[N&amp;P with New retention and Differentiation.xlsx]'Lake P Results'!R386", 0.29)</f>
        <v>0.28999999999999998</v>
      </c>
      <c r="BI840" s="46">
        <f>BG840-BF840</f>
        <v>0.22000000000000008</v>
      </c>
      <c r="BJ840" s="46">
        <f>BH840-BF840</f>
        <v>0.22000000000000008</v>
      </c>
      <c r="BK840" s="18"/>
      <c r="BL840" s="18"/>
      <c r="BM840" s="18"/>
      <c r="BN840" s="18"/>
      <c r="BO840" s="18"/>
    </row>
    <row r="841" spans="1:67" x14ac:dyDescent="0.55000000000000004">
      <c r="A841" s="31">
        <v>907</v>
      </c>
      <c r="B841" s="5" t="s">
        <v>691</v>
      </c>
      <c r="C841" s="29">
        <f>HYPERLINK("[N&amp;P Old retention.xlsx]'Lake P Results'!AE387", 0.0260000000000001)</f>
        <v>2.6000000000000099E-2</v>
      </c>
      <c r="D841" s="29">
        <f>HYPERLINK("[N&amp;P New retention.xlsx]'Lake P Results'!AE387", 0.0260000000000001)</f>
        <v>2.6000000000000099E-2</v>
      </c>
      <c r="E841" s="29">
        <f>HYPERLINK("[N&amp;P with New retention and Differentiation.xlsx]'Lake P Results'!AE387", 0.0260000000000001)</f>
        <v>2.6000000000000099E-2</v>
      </c>
      <c r="F841" s="13"/>
      <c r="G841" s="13"/>
      <c r="H841" s="28">
        <f>HYPERLINK("[N&amp;P Old retention.xlsx]'Lake P Results'!AM387", 29600)</f>
        <v>29600</v>
      </c>
      <c r="I841" s="28">
        <f>HYPERLINK("[N&amp;P New retention.xlsx]'Lake P Results'!AM387", 29600)</f>
        <v>29600</v>
      </c>
      <c r="J841" s="28">
        <f>HYPERLINK("[N&amp;P with New retention and Differentiation.xlsx]'Lake P Results'!AM387", 29600)</f>
        <v>29600</v>
      </c>
      <c r="K841" s="13"/>
      <c r="L841" s="13"/>
      <c r="M841" s="29">
        <f>HYPERLINK("[N&amp;P Old retention.xlsx]'Lake P Results'!AC387", 0.4)</f>
        <v>0.4</v>
      </c>
      <c r="N841" s="29">
        <f>HYPERLINK("[N&amp;P New retention.xlsx]'Lake P Results'!AC387", 0.77)</f>
        <v>0.77</v>
      </c>
      <c r="O841" s="13"/>
      <c r="P841" s="46">
        <f>N841-M841</f>
        <v>0.37</v>
      </c>
      <c r="Q841" s="47">
        <f>O841-M841</f>
        <v>-0.4</v>
      </c>
      <c r="R841" s="29">
        <f>HYPERLINK("[N&amp;P Old retention.xlsx]'Lake P Results'!Y387", 4.2)</f>
        <v>4.2</v>
      </c>
      <c r="S841" s="29">
        <f>HYPERLINK("[N&amp;P New retention.xlsx]'Lake P Results'!Y387", 3.47)</f>
        <v>3.47</v>
      </c>
      <c r="T841" s="29">
        <f>HYPERLINK("[N&amp;P with New retention and Differentiation.xlsx]'Lake P Results'!Y387", 0.36)</f>
        <v>0.36</v>
      </c>
      <c r="U841" s="47">
        <f>S841-R841</f>
        <v>-0.73</v>
      </c>
      <c r="V841" s="47">
        <f>T841-R841</f>
        <v>-3.8400000000000003</v>
      </c>
      <c r="W841" s="29">
        <f>HYPERLINK("[N&amp;P Old retention.xlsx]'Lake P Results'!V387", 33.78)</f>
        <v>33.78</v>
      </c>
      <c r="X841" s="29">
        <f>HYPERLINK("[N&amp;P New retention.xlsx]'Lake P Results'!V387", 33.78)</f>
        <v>33.78</v>
      </c>
      <c r="Y841" s="29">
        <f>HYPERLINK("[N&amp;P with New retention and Differentiation.xlsx]'Lake P Results'!V387", 33.78)</f>
        <v>33.78</v>
      </c>
      <c r="Z841" s="13"/>
      <c r="AA841" s="13"/>
      <c r="AB841" s="13"/>
      <c r="AC841" s="29">
        <f>HYPERLINK("[N&amp;P New retention.xlsx]'Lake P Results'!Z387", 0.36)</f>
        <v>0.36</v>
      </c>
      <c r="AD841" s="29">
        <f>HYPERLINK("[N&amp;P with New retention and Differentiation.xlsx]'Lake P Results'!Z387", 4.24)</f>
        <v>4.24</v>
      </c>
      <c r="AE841" s="46">
        <f>AC841-AB841</f>
        <v>0.36</v>
      </c>
      <c r="AF841" s="46">
        <f>AD841-AB841</f>
        <v>4.24</v>
      </c>
      <c r="AG841" s="13"/>
      <c r="AH841" s="13"/>
      <c r="AI841" s="13"/>
      <c r="AJ841" s="13"/>
      <c r="AK841" s="13"/>
      <c r="AL841" s="29">
        <f>HYPERLINK("[N&amp;P Old retention.xlsx]'Lake P Results'!AF387", 0.0799999999999999)</f>
        <v>7.9999999999999905E-2</v>
      </c>
      <c r="AM841" s="29">
        <f>HYPERLINK("[N&amp;P New retention.xlsx]'Lake P Results'!AF387", 0.0799999999999999)</f>
        <v>7.9999999999999905E-2</v>
      </c>
      <c r="AN841" s="29">
        <f>HYPERLINK("[N&amp;P with New retention and Differentiation.xlsx]'Lake P Results'!AF387", 0.0799999999999999)</f>
        <v>7.9999999999999905E-2</v>
      </c>
      <c r="AO841" s="13"/>
      <c r="AP841" s="13"/>
      <c r="AQ841" s="28">
        <f>HYPERLINK("[N&amp;P Old retention.xlsx]'Lake P Results'!AH387", 279.999999999958)</f>
        <v>279.99999999995799</v>
      </c>
      <c r="AR841" s="28">
        <f>HYPERLINK("[N&amp;P New retention.xlsx]'Lake P Results'!AH387", 279.999999999958)</f>
        <v>279.99999999995799</v>
      </c>
      <c r="AS841" s="28">
        <f>HYPERLINK("[N&amp;P with New retention and Differentiation.xlsx]'Lake P Results'!AH387", 279.999999999958)</f>
        <v>279.99999999995799</v>
      </c>
      <c r="AT841" s="21">
        <f>AR841-AQ841</f>
        <v>0</v>
      </c>
      <c r="AU841" s="13"/>
      <c r="AV841" s="13"/>
      <c r="AW841" s="13"/>
      <c r="AX841" s="13"/>
      <c r="AY841" s="13"/>
      <c r="AZ841" s="13"/>
      <c r="BA841" s="29">
        <f>HYPERLINK("[N&amp;P Old retention.xlsx]'Lake P Results'!O387", 270.334)</f>
        <v>270.334</v>
      </c>
      <c r="BB841" s="29">
        <f>HYPERLINK("[N&amp;P New retention.xlsx]'Lake P Results'!O387", 270.334)</f>
        <v>270.334</v>
      </c>
      <c r="BC841" s="29">
        <f>HYPERLINK("[N&amp;P with New retention and Differentiation.xlsx]'Lake P Results'!O387", 270.334)</f>
        <v>270.334</v>
      </c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</row>
    <row r="842" spans="1:67" x14ac:dyDescent="0.55000000000000004">
      <c r="A842" s="30">
        <v>908</v>
      </c>
      <c r="B842" s="6" t="s">
        <v>692</v>
      </c>
      <c r="C842" s="27">
        <f>HYPERLINK("[N&amp;P Old retention.xlsx]'Lake P Results'!AE388", 126.73)</f>
        <v>126.73</v>
      </c>
      <c r="D842" s="27">
        <f>HYPERLINK("[N&amp;P New retention.xlsx]'Lake P Results'!AE388", 125.4)</f>
        <v>125.4</v>
      </c>
      <c r="E842" s="27">
        <f>HYPERLINK("[N&amp;P with New retention and Differentiation.xlsx]'Lake P Results'!AE388", 125.254)</f>
        <v>125.254</v>
      </c>
      <c r="F842" s="47">
        <f>D842-C842</f>
        <v>-1.3299999999999983</v>
      </c>
      <c r="G842" s="47">
        <f>E842-C842</f>
        <v>-1.4759999999999991</v>
      </c>
      <c r="H842" s="26">
        <f>HYPERLINK("[N&amp;P Old retention.xlsx]'Lake P Results'!AM388", 145100)</f>
        <v>145100</v>
      </c>
      <c r="I842" s="26">
        <f>HYPERLINK("[N&amp;P New retention.xlsx]'Lake P Results'!AM388", 146600)</f>
        <v>146600</v>
      </c>
      <c r="J842" s="26">
        <f>HYPERLINK("[N&amp;P with New retention and Differentiation.xlsx]'Lake P Results'!AM388", 146900)</f>
        <v>146900</v>
      </c>
      <c r="K842" s="16">
        <f>I842-H842</f>
        <v>1500</v>
      </c>
      <c r="L842" s="16">
        <f>J842-H842</f>
        <v>1800</v>
      </c>
      <c r="M842" s="27">
        <f>HYPERLINK("[N&amp;P Old retention.xlsx]'Lake P Results'!AC388", 10.402)</f>
        <v>10.401999999999999</v>
      </c>
      <c r="N842" s="27">
        <f>HYPERLINK("[N&amp;P New retention.xlsx]'Lake P Results'!AC388", 10.626)</f>
        <v>10.625999999999999</v>
      </c>
      <c r="O842" s="27">
        <f>HYPERLINK("[N&amp;P with New retention and Differentiation.xlsx]'Lake P Results'!AC388", 4.908)</f>
        <v>4.9080000000000004</v>
      </c>
      <c r="P842" s="46">
        <f>N842-M842</f>
        <v>0.2240000000000002</v>
      </c>
      <c r="Q842" s="47">
        <f>O842-M842</f>
        <v>-5.4939999999999989</v>
      </c>
      <c r="R842" s="27">
        <f>HYPERLINK("[N&amp;P Old retention.xlsx]'Lake P Results'!Y388", 0.02)</f>
        <v>0.02</v>
      </c>
      <c r="S842" s="27">
        <f>HYPERLINK("[N&amp;P New retention.xlsx]'Lake P Results'!Y388", 1.968)</f>
        <v>1.968</v>
      </c>
      <c r="T842" s="27">
        <f>HYPERLINK("[N&amp;P with New retention and Differentiation.xlsx]'Lake P Results'!Y388", 1.996)</f>
        <v>1.996</v>
      </c>
      <c r="U842" s="46">
        <f>S842-R842</f>
        <v>1.948</v>
      </c>
      <c r="V842" s="46">
        <f>T842-R842</f>
        <v>1.976</v>
      </c>
      <c r="W842" s="18"/>
      <c r="X842" s="18"/>
      <c r="Y842" s="18"/>
      <c r="Z842" s="18"/>
      <c r="AA842" s="18"/>
      <c r="AB842" s="27">
        <f>HYPERLINK("[N&amp;P Old retention.xlsx]'Lake P Results'!Z388", 1.948)</f>
        <v>1.948</v>
      </c>
      <c r="AC842" s="27">
        <f>HYPERLINK("[N&amp;P New retention.xlsx]'Lake P Results'!Z388", 0.028)</f>
        <v>2.8000000000000001E-2</v>
      </c>
      <c r="AD842" s="27">
        <f>HYPERLINK("[N&amp;P with New retention and Differentiation.xlsx]'Lake P Results'!Z388", 0.048)</f>
        <v>4.8000000000000001E-2</v>
      </c>
      <c r="AE842" s="47">
        <f>AC842-AB842</f>
        <v>-1.92</v>
      </c>
      <c r="AF842" s="47">
        <f>AD842-AB842</f>
        <v>-1.9</v>
      </c>
      <c r="AG842" s="27">
        <f>HYPERLINK("[N&amp;P Old retention.xlsx]'Lake P Results'!AA388", 13.152)</f>
        <v>13.151999999999999</v>
      </c>
      <c r="AH842" s="27">
        <f>HYPERLINK("[N&amp;P New retention.xlsx]'Lake P Results'!AA388", 18.964)</f>
        <v>18.963999999999999</v>
      </c>
      <c r="AI842" s="27">
        <f>HYPERLINK("[N&amp;P with New retention and Differentiation.xlsx]'Lake P Results'!AA388", 18.964)</f>
        <v>18.963999999999999</v>
      </c>
      <c r="AJ842" s="46">
        <f>AH842-AG842</f>
        <v>5.8119999999999994</v>
      </c>
      <c r="AK842" s="46">
        <f>AI842-AG842</f>
        <v>5.8119999999999994</v>
      </c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27">
        <f>HYPERLINK("[N&amp;P Old retention.xlsx]'Lake P Results'!M388", 224.96)</f>
        <v>224.96</v>
      </c>
      <c r="AW842" s="27">
        <f>HYPERLINK("[N&amp;P New retention.xlsx]'Lake P Results'!M388", 434.118)</f>
        <v>434.11799999999999</v>
      </c>
      <c r="AX842" s="18"/>
      <c r="AY842" s="46">
        <f>AW842-AV842</f>
        <v>209.15799999999999</v>
      </c>
      <c r="AZ842" s="47">
        <f>AX842-AV842</f>
        <v>-224.96</v>
      </c>
      <c r="BA842" s="27">
        <f>HYPERLINK("[N&amp;P Old retention.xlsx]'Lake P Results'!O388", 179.804)</f>
        <v>179.804</v>
      </c>
      <c r="BB842" s="27">
        <f>HYPERLINK("[N&amp;P New retention.xlsx]'Lake P Results'!O388", 227.146)</f>
        <v>227.14599999999999</v>
      </c>
      <c r="BC842" s="27">
        <f>HYPERLINK("[N&amp;P with New retention and Differentiation.xlsx]'Lake P Results'!O388", 760.454)</f>
        <v>760.45399999999995</v>
      </c>
      <c r="BD842" s="46">
        <f>BB842-BA842</f>
        <v>47.341999999999985</v>
      </c>
      <c r="BE842" s="46">
        <f>BC842-BA842</f>
        <v>580.65</v>
      </c>
      <c r="BF842" s="27">
        <f>HYPERLINK("[N&amp;P Old retention.xlsx]'Lake P Results'!R388", 5.54999999999999)</f>
        <v>5.5499999999999901</v>
      </c>
      <c r="BG842" s="27">
        <f>HYPERLINK("[N&amp;P New retention.xlsx]'Lake P Results'!R388", 46.304)</f>
        <v>46.304000000000002</v>
      </c>
      <c r="BH842" s="27">
        <f>HYPERLINK("[N&amp;P with New retention and Differentiation.xlsx]'Lake P Results'!R388", 46.074)</f>
        <v>46.073999999999998</v>
      </c>
      <c r="BI842" s="46">
        <f>BG842-BF842</f>
        <v>40.754000000000012</v>
      </c>
      <c r="BJ842" s="46">
        <f>BH842-BF842</f>
        <v>40.524000000000008</v>
      </c>
      <c r="BK842" s="27">
        <f>HYPERLINK("[N&amp;P Old retention.xlsx]'Lake P Results'!Q388", 24.62)</f>
        <v>24.62</v>
      </c>
      <c r="BL842" s="27">
        <f>HYPERLINK("[N&amp;P New retention.xlsx]'Lake P Results'!Q388", 27.61)</f>
        <v>27.61</v>
      </c>
      <c r="BM842" s="27">
        <f>HYPERLINK("[N&amp;P with New retention and Differentiation.xlsx]'Lake P Results'!Q388", 26.37)</f>
        <v>26.37</v>
      </c>
      <c r="BN842" s="46">
        <f>BL842-BK842</f>
        <v>2.9899999999999984</v>
      </c>
      <c r="BO842" s="46">
        <f>BM842-BK842</f>
        <v>1.75</v>
      </c>
    </row>
    <row r="843" spans="1:67" x14ac:dyDescent="0.55000000000000004">
      <c r="A843" s="31">
        <v>909</v>
      </c>
      <c r="B843" s="5" t="s">
        <v>693</v>
      </c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</row>
    <row r="844" spans="1:67" x14ac:dyDescent="0.55000000000000004">
      <c r="A844" s="30">
        <v>910</v>
      </c>
      <c r="B844" s="6" t="s">
        <v>694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27">
        <f>HYPERLINK("[N&amp;P Old retention.xlsx]'Lake P Results'!Y390", 0.042)</f>
        <v>4.2000000000000003E-2</v>
      </c>
      <c r="S844" s="27">
        <f>HYPERLINK("[N&amp;P New retention.xlsx]'Lake P Results'!Y390", 0.042)</f>
        <v>4.2000000000000003E-2</v>
      </c>
      <c r="T844" s="27">
        <f>HYPERLINK("[N&amp;P with New retention and Differentiation.xlsx]'Lake P Results'!Y390", 0.042)</f>
        <v>4.2000000000000003E-2</v>
      </c>
      <c r="U844" s="18"/>
      <c r="V844" s="18"/>
      <c r="W844" s="27">
        <f>HYPERLINK("[N&amp;P Old retention.xlsx]'Lake P Results'!V390", 0.064)</f>
        <v>6.4000000000000001E-2</v>
      </c>
      <c r="X844" s="27">
        <f>HYPERLINK("[N&amp;P New retention.xlsx]'Lake P Results'!V390", 0.064)</f>
        <v>6.4000000000000001E-2</v>
      </c>
      <c r="Y844" s="27">
        <f>HYPERLINK("[N&amp;P with New retention and Differentiation.xlsx]'Lake P Results'!V390", 0.064)</f>
        <v>6.4000000000000001E-2</v>
      </c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27">
        <f>HYPERLINK("[N&amp;P Old retention.xlsx]'Lake P Results'!R390", 1.286)</f>
        <v>1.286</v>
      </c>
      <c r="BG844" s="27">
        <f>HYPERLINK("[N&amp;P New retention.xlsx]'Lake P Results'!R390", 2.206)</f>
        <v>2.206</v>
      </c>
      <c r="BH844" s="27">
        <f>HYPERLINK("[N&amp;P with New retention and Differentiation.xlsx]'Lake P Results'!R390", 2.206)</f>
        <v>2.206</v>
      </c>
      <c r="BI844" s="46">
        <f>BG844-BF844</f>
        <v>0.91999999999999993</v>
      </c>
      <c r="BJ844" s="46">
        <f>BH844-BF844</f>
        <v>0.91999999999999993</v>
      </c>
      <c r="BK844" s="18"/>
      <c r="BL844" s="18"/>
      <c r="BM844" s="18"/>
      <c r="BN844" s="18"/>
      <c r="BO844" s="18"/>
    </row>
    <row r="845" spans="1:67" x14ac:dyDescent="0.55000000000000004">
      <c r="A845" s="31">
        <v>911</v>
      </c>
      <c r="B845" s="5"/>
      <c r="C845" s="29">
        <f>HYPERLINK("[N&amp;P Old retention.xlsx]'Lake P Results'!AE391", 0.982)</f>
        <v>0.98199999999999998</v>
      </c>
      <c r="D845" s="29">
        <f>HYPERLINK("[N&amp;P New retention.xlsx]'Lake P Results'!AE391", 0.982)</f>
        <v>0.98199999999999998</v>
      </c>
      <c r="E845" s="29">
        <f>HYPERLINK("[N&amp;P with New retention and Differentiation.xlsx]'Lake P Results'!AE391", 0.982)</f>
        <v>0.98199999999999998</v>
      </c>
      <c r="F845" s="13"/>
      <c r="G845" s="13"/>
      <c r="H845" s="28">
        <f>HYPERLINK("[N&amp;P Old retention.xlsx]'Lake P Results'!AM391", 1700)</f>
        <v>1700</v>
      </c>
      <c r="I845" s="28">
        <f>HYPERLINK("[N&amp;P New retention.xlsx]'Lake P Results'!AM391", 1700)</f>
        <v>1700</v>
      </c>
      <c r="J845" s="28">
        <f>HYPERLINK("[N&amp;P with New retention and Differentiation.xlsx]'Lake P Results'!AM391", 1700)</f>
        <v>1700</v>
      </c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29">
        <f>HYPERLINK("[N&amp;P Old retention.xlsx]'Lake P Results'!AA391", 0.026)</f>
        <v>2.5999999999999999E-2</v>
      </c>
      <c r="AH845" s="29">
        <f>HYPERLINK("[N&amp;P New retention.xlsx]'Lake P Results'!AA391", 0.026)</f>
        <v>2.5999999999999999E-2</v>
      </c>
      <c r="AI845" s="29">
        <f>HYPERLINK("[N&amp;P with New retention and Differentiation.xlsx]'Lake P Results'!AA391", 0.026)</f>
        <v>2.5999999999999999E-2</v>
      </c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29">
        <f>HYPERLINK("[N&amp;P Old retention.xlsx]'Lake P Results'!R391", 0.58)</f>
        <v>0.57999999999999996</v>
      </c>
      <c r="BG845" s="29">
        <f>HYPERLINK("[N&amp;P New retention.xlsx]'Lake P Results'!R391", 0.58)</f>
        <v>0.57999999999999996</v>
      </c>
      <c r="BH845" s="29">
        <f>HYPERLINK("[N&amp;P with New retention and Differentiation.xlsx]'Lake P Results'!R391", 0.58)</f>
        <v>0.57999999999999996</v>
      </c>
      <c r="BI845" s="13"/>
      <c r="BJ845" s="13"/>
      <c r="BK845" s="13"/>
      <c r="BL845" s="13"/>
      <c r="BM845" s="13"/>
      <c r="BN845" s="13"/>
      <c r="BO845" s="13"/>
    </row>
    <row r="846" spans="1:67" x14ac:dyDescent="0.55000000000000004">
      <c r="A846" s="30">
        <v>912</v>
      </c>
      <c r="B846" s="6" t="s">
        <v>695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</row>
    <row r="847" spans="1:67" x14ac:dyDescent="0.55000000000000004">
      <c r="A847" s="31">
        <v>913</v>
      </c>
      <c r="B847" s="5" t="s">
        <v>696</v>
      </c>
      <c r="C847" s="13"/>
      <c r="D847" s="13"/>
      <c r="E847" s="13"/>
      <c r="F847" s="13"/>
      <c r="G847" s="13"/>
      <c r="H847" s="28">
        <f>HYPERLINK("[N&amp;P Old retention.xlsx]'Lake P Results'!AM393", 6400)</f>
        <v>6400</v>
      </c>
      <c r="I847" s="28">
        <f>HYPERLINK("[N&amp;P New retention.xlsx]'Lake P Results'!AM393", 6500)</f>
        <v>6500</v>
      </c>
      <c r="J847" s="28">
        <f>HYPERLINK("[N&amp;P with New retention and Differentiation.xlsx]'Lake P Results'!AM393", 6500)</f>
        <v>6500</v>
      </c>
      <c r="K847" s="16">
        <f>I847-H847</f>
        <v>100</v>
      </c>
      <c r="L847" s="16">
        <f>J847-H847</f>
        <v>100</v>
      </c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29">
        <f>HYPERLINK("[N&amp;P Old retention.xlsx]'Lake P Results'!R393", 2.642)</f>
        <v>2.6419999999999999</v>
      </c>
      <c r="BG847" s="29">
        <f>HYPERLINK("[N&amp;P New retention.xlsx]'Lake P Results'!R393", 2.792)</f>
        <v>2.7919999999999998</v>
      </c>
      <c r="BH847" s="29">
        <f>HYPERLINK("[N&amp;P with New retention and Differentiation.xlsx]'Lake P Results'!R393", 2.792)</f>
        <v>2.7919999999999998</v>
      </c>
      <c r="BI847" s="46">
        <f>BG847-BF847</f>
        <v>0.14999999999999991</v>
      </c>
      <c r="BJ847" s="46">
        <f>BH847-BF847</f>
        <v>0.14999999999999991</v>
      </c>
      <c r="BK847" s="13"/>
      <c r="BL847" s="13"/>
      <c r="BM847" s="13"/>
      <c r="BN847" s="13"/>
      <c r="BO847" s="13"/>
    </row>
    <row r="848" spans="1:67" x14ac:dyDescent="0.55000000000000004">
      <c r="A848" s="30">
        <v>914</v>
      </c>
      <c r="B848" s="6" t="s">
        <v>697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</row>
    <row r="849" spans="1:67" x14ac:dyDescent="0.55000000000000004">
      <c r="A849" s="31">
        <v>915</v>
      </c>
      <c r="B849" s="5" t="s">
        <v>698</v>
      </c>
      <c r="C849" s="13"/>
      <c r="D849" s="13"/>
      <c r="E849" s="13"/>
      <c r="F849" s="13"/>
      <c r="G849" s="13"/>
      <c r="H849" s="28">
        <f>HYPERLINK("[N&amp;P Old retention.xlsx]'Lake P Results'!AM395", 100)</f>
        <v>100</v>
      </c>
      <c r="I849" s="28">
        <f>HYPERLINK("[N&amp;P New retention.xlsx]'Lake P Results'!AM395", 100)</f>
        <v>100</v>
      </c>
      <c r="J849" s="28">
        <f>HYPERLINK("[N&amp;P with New retention and Differentiation.xlsx]'Lake P Results'!AM395", 100)</f>
        <v>100</v>
      </c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</row>
    <row r="850" spans="1:67" x14ac:dyDescent="0.55000000000000004">
      <c r="A850" s="30">
        <v>920</v>
      </c>
      <c r="B850" s="6" t="s">
        <v>699</v>
      </c>
      <c r="C850" s="18"/>
      <c r="D850" s="18"/>
      <c r="E850" s="18"/>
      <c r="F850" s="18"/>
      <c r="G850" s="18"/>
      <c r="H850" s="26">
        <f>HYPERLINK("[N&amp;P Old retention.xlsx]'Lake P Results'!AM396", 1800)</f>
        <v>1800</v>
      </c>
      <c r="I850" s="26">
        <f>HYPERLINK("[N&amp;P New retention.xlsx]'Lake P Results'!AM396", 1900)</f>
        <v>1900</v>
      </c>
      <c r="J850" s="26">
        <f>HYPERLINK("[N&amp;P with New retention and Differentiation.xlsx]'Lake P Results'!AM396", 1800)</f>
        <v>1800</v>
      </c>
      <c r="K850" s="16">
        <f>I850-H850</f>
        <v>100</v>
      </c>
      <c r="L850" s="18"/>
      <c r="M850" s="27">
        <f>HYPERLINK("[N&amp;P Old retention.xlsx]'Lake P Results'!AC396", 141.86)</f>
        <v>141.86000000000001</v>
      </c>
      <c r="N850" s="27">
        <f>HYPERLINK("[N&amp;P New retention.xlsx]'Lake P Results'!AC396", 143.794)</f>
        <v>143.79400000000001</v>
      </c>
      <c r="O850" s="27">
        <f>HYPERLINK("[N&amp;P with New retention and Differentiation.xlsx]'Lake P Results'!AC396", 141.86)</f>
        <v>141.86000000000001</v>
      </c>
      <c r="P850" s="46">
        <f>N850-M850</f>
        <v>1.9339999999999975</v>
      </c>
      <c r="Q850" s="18"/>
      <c r="R850" s="27">
        <f>HYPERLINK("[N&amp;P Old retention.xlsx]'Lake P Results'!Y396", 10.098)</f>
        <v>10.098000000000001</v>
      </c>
      <c r="S850" s="27">
        <f>HYPERLINK("[N&amp;P New retention.xlsx]'Lake P Results'!Y396", 8.164)</f>
        <v>8.1639999999999997</v>
      </c>
      <c r="T850" s="27">
        <f>HYPERLINK("[N&amp;P with New retention and Differentiation.xlsx]'Lake P Results'!Y396", 10.37)</f>
        <v>10.37</v>
      </c>
      <c r="U850" s="47">
        <f>S850-R850</f>
        <v>-1.9340000000000011</v>
      </c>
      <c r="V850" s="46">
        <f>T850-R850</f>
        <v>0.27199999999999847</v>
      </c>
      <c r="W850" s="27">
        <f>HYPERLINK("[N&amp;P Old retention.xlsx]'Lake P Results'!V396", 38.22)</f>
        <v>38.22</v>
      </c>
      <c r="X850" s="27">
        <f>HYPERLINK("[N&amp;P New retention.xlsx]'Lake P Results'!V396", 38.22)</f>
        <v>38.22</v>
      </c>
      <c r="Y850" s="27">
        <f>HYPERLINK("[N&amp;P with New retention and Differentiation.xlsx]'Lake P Results'!V396", 38.22)</f>
        <v>38.22</v>
      </c>
      <c r="Z850" s="18"/>
      <c r="AA850" s="18"/>
      <c r="AB850" s="18"/>
      <c r="AC850" s="18"/>
      <c r="AD850" s="27">
        <f>HYPERLINK("[N&amp;P with New retention and Differentiation.xlsx]'Lake P Results'!Z396", 0.18)</f>
        <v>0.18</v>
      </c>
      <c r="AE850" s="18"/>
      <c r="AF850" s="46">
        <f>AD850-AB850</f>
        <v>0.18</v>
      </c>
      <c r="AG850" s="27">
        <f>HYPERLINK("[N&amp;P Old retention.xlsx]'Lake P Results'!AA396", 10.954)</f>
        <v>10.954000000000001</v>
      </c>
      <c r="AH850" s="27">
        <f>HYPERLINK("[N&amp;P New retention.xlsx]'Lake P Results'!AA396", 10.79)</f>
        <v>10.79</v>
      </c>
      <c r="AI850" s="27">
        <f>HYPERLINK("[N&amp;P with New retention and Differentiation.xlsx]'Lake P Results'!AA396", 10.79)</f>
        <v>10.79</v>
      </c>
      <c r="AJ850" s="47">
        <f>AH850-AG850</f>
        <v>-0.16400000000000148</v>
      </c>
      <c r="AK850" s="47">
        <f>AI850-AG850</f>
        <v>-0.16400000000000148</v>
      </c>
      <c r="AL850" s="18"/>
      <c r="AM850" s="18"/>
      <c r="AN850" s="18"/>
      <c r="AO850" s="18"/>
      <c r="AP850" s="18"/>
      <c r="AQ850" s="26">
        <f>HYPERLINK("[N&amp;P Old retention.xlsx]'Lake P Results'!AH396", 200)</f>
        <v>200</v>
      </c>
      <c r="AR850" s="26">
        <f>HYPERLINK("[N&amp;P New retention.xlsx]'Lake P Results'!AH396", 200)</f>
        <v>200</v>
      </c>
      <c r="AS850" s="26">
        <f>HYPERLINK("[N&amp;P with New retention and Differentiation.xlsx]'Lake P Results'!AH396", 200)</f>
        <v>200</v>
      </c>
      <c r="AT850" s="18"/>
      <c r="AU850" s="18"/>
      <c r="AV850" s="18"/>
      <c r="AW850" s="18"/>
      <c r="AX850" s="18"/>
      <c r="AY850" s="18"/>
      <c r="AZ850" s="18"/>
      <c r="BA850" s="18"/>
      <c r="BB850" s="27">
        <f>HYPERLINK("[N&amp;P New retention.xlsx]'Lake P Results'!O396", 0.164)</f>
        <v>0.16400000000000001</v>
      </c>
      <c r="BC850" s="27">
        <f>HYPERLINK("[N&amp;P with New retention and Differentiation.xlsx]'Lake P Results'!O396", 0.164)</f>
        <v>0.16400000000000001</v>
      </c>
      <c r="BD850" s="46">
        <f>BB850-BA850</f>
        <v>0.16400000000000001</v>
      </c>
      <c r="BE850" s="46">
        <f>BC850-BA850</f>
        <v>0.16400000000000001</v>
      </c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</row>
    <row r="851" spans="1:67" x14ac:dyDescent="0.55000000000000004">
      <c r="A851" s="31">
        <v>922</v>
      </c>
      <c r="B851" s="5" t="s">
        <v>700</v>
      </c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29">
        <f>HYPERLINK("[N&amp;P Old retention.xlsx]'Lake P Results'!M397", 0.824)</f>
        <v>0.82399999999999995</v>
      </c>
      <c r="AW851" s="29">
        <f>HYPERLINK("[N&amp;P New retention.xlsx]'Lake P Results'!M397", 0.824)</f>
        <v>0.82399999999999995</v>
      </c>
      <c r="AX851" s="29">
        <f>HYPERLINK("[N&amp;P with New retention and Differentiation.xlsx]'Lake P Results'!M397", 0.824)</f>
        <v>0.82399999999999995</v>
      </c>
      <c r="AY851" s="13"/>
      <c r="AZ851" s="13"/>
      <c r="BA851" s="13"/>
      <c r="BB851" s="13"/>
      <c r="BC851" s="13"/>
      <c r="BD851" s="13"/>
      <c r="BE851" s="13"/>
      <c r="BF851" s="13"/>
      <c r="BG851" s="29">
        <f>HYPERLINK("[N&amp;P New retention.xlsx]'Lake P Results'!R397", 0.53)</f>
        <v>0.53</v>
      </c>
      <c r="BH851" s="29">
        <f>HYPERLINK("[N&amp;P with New retention and Differentiation.xlsx]'Lake P Results'!R397", 0.53)</f>
        <v>0.53</v>
      </c>
      <c r="BI851" s="46">
        <f>BG851-BF851</f>
        <v>0.53</v>
      </c>
      <c r="BJ851" s="46">
        <f>BH851-BF851</f>
        <v>0.53</v>
      </c>
      <c r="BK851" s="13"/>
      <c r="BL851" s="13"/>
      <c r="BM851" s="13"/>
      <c r="BN851" s="13"/>
      <c r="BO851" s="13"/>
    </row>
    <row r="852" spans="1:67" x14ac:dyDescent="0.55000000000000004">
      <c r="A852" s="30">
        <v>924</v>
      </c>
      <c r="B852" s="6" t="s">
        <v>701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27">
        <f>HYPERLINK("[N&amp;P Old retention.xlsx]'Lake P Results'!Y398", 4.23)</f>
        <v>4.2300000000000004</v>
      </c>
      <c r="S852" s="27">
        <f>HYPERLINK("[N&amp;P New retention.xlsx]'Lake P Results'!Y398", 4.23)</f>
        <v>4.2300000000000004</v>
      </c>
      <c r="T852" s="27">
        <f>HYPERLINK("[N&amp;P with New retention and Differentiation.xlsx]'Lake P Results'!Y398", 4.23)</f>
        <v>4.2300000000000004</v>
      </c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27">
        <f>HYPERLINK("[N&amp;P Old retention.xlsx]'Lake P Results'!M398", 5.27)</f>
        <v>5.27</v>
      </c>
      <c r="AW852" s="27">
        <f>HYPERLINK("[N&amp;P New retention.xlsx]'Lake P Results'!M398", 5.27)</f>
        <v>5.27</v>
      </c>
      <c r="AX852" s="27">
        <f>HYPERLINK("[N&amp;P with New retention and Differentiation.xlsx]'Lake P Results'!M398", 5.27)</f>
        <v>5.27</v>
      </c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</row>
    <row r="853" spans="1:67" x14ac:dyDescent="0.55000000000000004">
      <c r="A853" s="31">
        <v>925</v>
      </c>
      <c r="B853" s="5" t="s">
        <v>702</v>
      </c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</row>
    <row r="854" spans="1:67" x14ac:dyDescent="0.55000000000000004">
      <c r="A854" s="30">
        <v>926</v>
      </c>
      <c r="B854" s="6" t="s">
        <v>703</v>
      </c>
      <c r="C854" s="18"/>
      <c r="D854" s="18"/>
      <c r="E854" s="18"/>
      <c r="F854" s="18"/>
      <c r="G854" s="18"/>
      <c r="H854" s="26">
        <f>HYPERLINK("[N&amp;P Old retention.xlsx]'Lake P Results'!AM400", 1700)</f>
        <v>1700</v>
      </c>
      <c r="I854" s="26">
        <f>HYPERLINK("[N&amp;P New retention.xlsx]'Lake P Results'!AM400", 1700)</f>
        <v>1700</v>
      </c>
      <c r="J854" s="26">
        <f>HYPERLINK("[N&amp;P with New retention and Differentiation.xlsx]'Lake P Results'!AM400", 1700)</f>
        <v>1700</v>
      </c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26">
        <f>HYPERLINK("[N&amp;P Old retention.xlsx]'Lake P Results'!AH400", 110)</f>
        <v>110</v>
      </c>
      <c r="AR854" s="26">
        <f>HYPERLINK("[N&amp;P New retention.xlsx]'Lake P Results'!AH400", 110)</f>
        <v>110</v>
      </c>
      <c r="AS854" s="26">
        <f>HYPERLINK("[N&amp;P with New retention and Differentiation.xlsx]'Lake P Results'!AH400", 110)</f>
        <v>110</v>
      </c>
      <c r="AT854" s="18"/>
      <c r="AU854" s="18"/>
      <c r="AV854" s="27">
        <f>HYPERLINK("[N&amp;P Old retention.xlsx]'Lake P Results'!M400", 191.28)</f>
        <v>191.28</v>
      </c>
      <c r="AW854" s="27">
        <f>HYPERLINK("[N&amp;P New retention.xlsx]'Lake P Results'!M400", 191.28)</f>
        <v>191.28</v>
      </c>
      <c r="AX854" s="27">
        <f>HYPERLINK("[N&amp;P with New retention and Differentiation.xlsx]'Lake P Results'!M400", 191.28)</f>
        <v>191.28</v>
      </c>
      <c r="AY854" s="18"/>
      <c r="AZ854" s="18"/>
      <c r="BA854" s="27">
        <f>HYPERLINK("[N&amp;P Old retention.xlsx]'Lake P Results'!O400", 0.296)</f>
        <v>0.29599999999999999</v>
      </c>
      <c r="BB854" s="27">
        <f>HYPERLINK("[N&amp;P New retention.xlsx]'Lake P Results'!O400", 0.296)</f>
        <v>0.29599999999999999</v>
      </c>
      <c r="BC854" s="27">
        <f>HYPERLINK("[N&amp;P with New retention and Differentiation.xlsx]'Lake P Results'!O400", 0.296)</f>
        <v>0.29599999999999999</v>
      </c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</row>
    <row r="855" spans="1:67" x14ac:dyDescent="0.55000000000000004">
      <c r="A855" s="31">
        <v>927</v>
      </c>
      <c r="B855" s="5" t="s">
        <v>704</v>
      </c>
      <c r="C855" s="29">
        <f>HYPERLINK("[N&amp;P Old retention.xlsx]'Lake P Results'!AE401", 0.232)</f>
        <v>0.23200000000000001</v>
      </c>
      <c r="D855" s="29">
        <f>HYPERLINK("[N&amp;P New retention.xlsx]'Lake P Results'!AE401", 0.232)</f>
        <v>0.23200000000000001</v>
      </c>
      <c r="E855" s="29">
        <f>HYPERLINK("[N&amp;P with New retention and Differentiation.xlsx]'Lake P Results'!AE401", 0.232)</f>
        <v>0.23200000000000001</v>
      </c>
      <c r="F855" s="13"/>
      <c r="G855" s="13"/>
      <c r="H855" s="28">
        <f>HYPERLINK("[N&amp;P Old retention.xlsx]'Lake P Results'!AM401", 300)</f>
        <v>300</v>
      </c>
      <c r="I855" s="28">
        <f>HYPERLINK("[N&amp;P New retention.xlsx]'Lake P Results'!AM401", 300)</f>
        <v>300</v>
      </c>
      <c r="J855" s="28">
        <f>HYPERLINK("[N&amp;P with New retention and Differentiation.xlsx]'Lake P Results'!AM401", 300)</f>
        <v>300</v>
      </c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29">
        <f>HYPERLINK("[N&amp;P Old retention.xlsx]'Lake P Results'!AF401", 0.0399999999999999)</f>
        <v>3.9999999999999897E-2</v>
      </c>
      <c r="AM855" s="29">
        <f>HYPERLINK("[N&amp;P New retention.xlsx]'Lake P Results'!AF401", 0.0399999999999999)</f>
        <v>3.9999999999999897E-2</v>
      </c>
      <c r="AN855" s="29">
        <f>HYPERLINK("[N&amp;P with New retention and Differentiation.xlsx]'Lake P Results'!AF401", 0.0399999999999999)</f>
        <v>3.9999999999999897E-2</v>
      </c>
      <c r="AO855" s="13"/>
      <c r="AP855" s="13"/>
      <c r="AQ855" s="28">
        <f>HYPERLINK("[N&amp;P Old retention.xlsx]'Lake P Results'!AH401", 50)</f>
        <v>50</v>
      </c>
      <c r="AR855" s="28">
        <f>HYPERLINK("[N&amp;P New retention.xlsx]'Lake P Results'!AH401", 50)</f>
        <v>50</v>
      </c>
      <c r="AS855" s="28">
        <f>HYPERLINK("[N&amp;P with New retention and Differentiation.xlsx]'Lake P Results'!AH401", 50)</f>
        <v>50</v>
      </c>
      <c r="AT855" s="13"/>
      <c r="AU855" s="13"/>
      <c r="AV855" s="29">
        <f>HYPERLINK("[N&amp;P Old retention.xlsx]'Lake P Results'!M401", 42.57)</f>
        <v>42.57</v>
      </c>
      <c r="AW855" s="29">
        <f>HYPERLINK("[N&amp;P New retention.xlsx]'Lake P Results'!M401", 42.57)</f>
        <v>42.57</v>
      </c>
      <c r="AX855" s="13"/>
      <c r="AY855" s="13"/>
      <c r="AZ855" s="47">
        <f>AX855-AV855</f>
        <v>-42.57</v>
      </c>
      <c r="BA855" s="29">
        <f>HYPERLINK("[N&amp;P Old retention.xlsx]'Lake P Results'!O401", 27.616)</f>
        <v>27.616</v>
      </c>
      <c r="BB855" s="29">
        <f>HYPERLINK("[N&amp;P New retention.xlsx]'Lake P Results'!O401", 27.616)</f>
        <v>27.616</v>
      </c>
      <c r="BC855" s="29">
        <f>HYPERLINK("[N&amp;P with New retention and Differentiation.xlsx]'Lake P Results'!O401", 70.186)</f>
        <v>70.186000000000007</v>
      </c>
      <c r="BD855" s="13"/>
      <c r="BE855" s="46">
        <f>BC855-BA855</f>
        <v>42.570000000000007</v>
      </c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</row>
    <row r="856" spans="1:67" x14ac:dyDescent="0.55000000000000004">
      <c r="A856" s="30">
        <v>928</v>
      </c>
      <c r="B856" s="6" t="s">
        <v>705</v>
      </c>
      <c r="C856" s="18"/>
      <c r="D856" s="18"/>
      <c r="E856" s="18"/>
      <c r="F856" s="18"/>
      <c r="G856" s="18"/>
      <c r="H856" s="26">
        <f>HYPERLINK("[N&amp;P Old retention.xlsx]'Lake P Results'!AM402", 100)</f>
        <v>100</v>
      </c>
      <c r="I856" s="26">
        <f>HYPERLINK("[N&amp;P New retention.xlsx]'Lake P Results'!AM402", 100)</f>
        <v>100</v>
      </c>
      <c r="J856" s="26">
        <f>HYPERLINK("[N&amp;P with New retention and Differentiation.xlsx]'Lake P Results'!AM402", 100)</f>
        <v>100</v>
      </c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</row>
    <row r="857" spans="1:67" x14ac:dyDescent="0.55000000000000004">
      <c r="A857" s="31">
        <v>930</v>
      </c>
      <c r="B857" s="5" t="s">
        <v>706</v>
      </c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</row>
    <row r="858" spans="1:67" x14ac:dyDescent="0.55000000000000004">
      <c r="A858" s="30">
        <v>933</v>
      </c>
      <c r="B858" s="6" t="s">
        <v>707</v>
      </c>
      <c r="C858" s="18"/>
      <c r="D858" s="18"/>
      <c r="E858" s="18"/>
      <c r="F858" s="18"/>
      <c r="G858" s="18"/>
      <c r="H858" s="26">
        <f>HYPERLINK("[N&amp;P Old retention.xlsx]'Lake P Results'!AM404", 3400)</f>
        <v>3400</v>
      </c>
      <c r="I858" s="26">
        <f>HYPERLINK("[N&amp;P New retention.xlsx]'Lake P Results'!AM404", 3400)</f>
        <v>3400</v>
      </c>
      <c r="J858" s="26">
        <f>HYPERLINK("[N&amp;P with New retention and Differentiation.xlsx]'Lake P Results'!AM404", 3400)</f>
        <v>3400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26">
        <f>HYPERLINK("[N&amp;P Old retention.xlsx]'Lake P Results'!AH404", 40)</f>
        <v>40</v>
      </c>
      <c r="AR858" s="26">
        <f>HYPERLINK("[N&amp;P New retention.xlsx]'Lake P Results'!AH404", 40)</f>
        <v>40</v>
      </c>
      <c r="AS858" s="26">
        <f>HYPERLINK("[N&amp;P with New retention and Differentiation.xlsx]'Lake P Results'!AH404", 40)</f>
        <v>40</v>
      </c>
      <c r="AT858" s="18"/>
      <c r="AU858" s="18"/>
      <c r="AV858" s="27">
        <f>HYPERLINK("[N&amp;P Old retention.xlsx]'Lake P Results'!M404", 82.07)</f>
        <v>82.07</v>
      </c>
      <c r="AW858" s="27">
        <f>HYPERLINK("[N&amp;P New retention.xlsx]'Lake P Results'!M404", 82.07)</f>
        <v>82.07</v>
      </c>
      <c r="AX858" s="27">
        <f>HYPERLINK("[N&amp;P with New retention and Differentiation.xlsx]'Lake P Results'!M404", 82.07)</f>
        <v>82.07</v>
      </c>
      <c r="AY858" s="18"/>
      <c r="AZ858" s="18"/>
      <c r="BA858" s="27">
        <f>HYPERLINK("[N&amp;P Old retention.xlsx]'Lake P Results'!O404", 8.444)</f>
        <v>8.4440000000000008</v>
      </c>
      <c r="BB858" s="27">
        <f>HYPERLINK("[N&amp;P New retention.xlsx]'Lake P Results'!O404", 8.444)</f>
        <v>8.4440000000000008</v>
      </c>
      <c r="BC858" s="27">
        <f>HYPERLINK("[N&amp;P with New retention and Differentiation.xlsx]'Lake P Results'!O404", 8.444)</f>
        <v>8.4440000000000008</v>
      </c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</row>
    <row r="859" spans="1:67" x14ac:dyDescent="0.55000000000000004">
      <c r="A859" s="31">
        <v>934</v>
      </c>
      <c r="B859" s="5" t="s">
        <v>708</v>
      </c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</row>
    <row r="860" spans="1:67" x14ac:dyDescent="0.55000000000000004">
      <c r="A860" s="30">
        <v>938</v>
      </c>
      <c r="B860" s="6" t="s">
        <v>709</v>
      </c>
      <c r="C860" s="18"/>
      <c r="D860" s="18"/>
      <c r="E860" s="18"/>
      <c r="F860" s="18"/>
      <c r="G860" s="18"/>
      <c r="H860" s="26">
        <f>HYPERLINK("[N&amp;P Old retention.xlsx]'Lake P Results'!AM406", 1400)</f>
        <v>1400</v>
      </c>
      <c r="I860" s="26">
        <f>HYPERLINK("[N&amp;P New retention.xlsx]'Lake P Results'!AM406", 1400)</f>
        <v>1400</v>
      </c>
      <c r="J860" s="26">
        <f>HYPERLINK("[N&amp;P with New retention and Differentiation.xlsx]'Lake P Results'!AM406", 1400)</f>
        <v>1400</v>
      </c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27">
        <f>HYPERLINK("[N&amp;P Old retention.xlsx]'Lake P Results'!M406", 48.34)</f>
        <v>48.34</v>
      </c>
      <c r="AW860" s="27">
        <f>HYPERLINK("[N&amp;P New retention.xlsx]'Lake P Results'!M406", 48.34)</f>
        <v>48.34</v>
      </c>
      <c r="AX860" s="18"/>
      <c r="AY860" s="18"/>
      <c r="AZ860" s="47">
        <f>AX860-AV860</f>
        <v>-48.34</v>
      </c>
      <c r="BA860" s="18"/>
      <c r="BB860" s="18"/>
      <c r="BC860" s="27">
        <f>HYPERLINK("[N&amp;P with New retention and Differentiation.xlsx]'Lake P Results'!O406", 48.34)</f>
        <v>48.34</v>
      </c>
      <c r="BD860" s="18"/>
      <c r="BE860" s="46">
        <f>BC860-BA860</f>
        <v>48.34</v>
      </c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</row>
    <row r="861" spans="1:67" x14ac:dyDescent="0.55000000000000004">
      <c r="A861" s="31">
        <v>940</v>
      </c>
      <c r="B861" s="5" t="s">
        <v>710</v>
      </c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</row>
    <row r="862" spans="1:67" x14ac:dyDescent="0.55000000000000004">
      <c r="A862" s="30">
        <v>941</v>
      </c>
      <c r="B862" s="6" t="s">
        <v>711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</row>
    <row r="863" spans="1:67" x14ac:dyDescent="0.55000000000000004">
      <c r="A863" s="31">
        <v>947</v>
      </c>
      <c r="B863" s="5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</row>
    <row r="864" spans="1:67" x14ac:dyDescent="0.55000000000000004">
      <c r="A864" s="30">
        <v>949</v>
      </c>
      <c r="B864" s="6" t="s">
        <v>712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</row>
    <row r="865" spans="1:67" x14ac:dyDescent="0.55000000000000004">
      <c r="A865" s="31">
        <v>950</v>
      </c>
      <c r="B865" s="5" t="s">
        <v>713</v>
      </c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</row>
    <row r="866" spans="1:67" x14ac:dyDescent="0.55000000000000004">
      <c r="A866" s="30">
        <v>952</v>
      </c>
      <c r="B866" s="6" t="s">
        <v>714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</row>
    <row r="867" spans="1:67" x14ac:dyDescent="0.55000000000000004">
      <c r="A867" s="31">
        <v>960</v>
      </c>
      <c r="B867" s="5" t="s">
        <v>715</v>
      </c>
      <c r="C867" s="29">
        <f>HYPERLINK("[N&amp;P Old retention.xlsx]'Lake P Results'!AE413", 0.568)</f>
        <v>0.56799999999999995</v>
      </c>
      <c r="D867" s="29">
        <f>HYPERLINK("[N&amp;P New retention.xlsx]'Lake P Results'!AE413", 0.568)</f>
        <v>0.56799999999999995</v>
      </c>
      <c r="E867" s="29">
        <f>HYPERLINK("[N&amp;P with New retention and Differentiation.xlsx]'Lake P Results'!AE413", 0.568)</f>
        <v>0.56799999999999995</v>
      </c>
      <c r="F867" s="13"/>
      <c r="G867" s="13"/>
      <c r="H867" s="28">
        <f>HYPERLINK("[N&amp;P Old retention.xlsx]'Lake P Results'!AM413", 17400)</f>
        <v>17400</v>
      </c>
      <c r="I867" s="28">
        <f>HYPERLINK("[N&amp;P New retention.xlsx]'Lake P Results'!AM413", 17400)</f>
        <v>17400</v>
      </c>
      <c r="J867" s="28">
        <f>HYPERLINK("[N&amp;P with New retention and Differentiation.xlsx]'Lake P Results'!AM413", 17400)</f>
        <v>17400</v>
      </c>
      <c r="K867" s="13"/>
      <c r="L867" s="13"/>
      <c r="M867" s="29">
        <f>HYPERLINK("[N&amp;P Old retention.xlsx]'Lake P Results'!AC413", 8.516)</f>
        <v>8.516</v>
      </c>
      <c r="N867" s="29">
        <f>HYPERLINK("[N&amp;P New retention.xlsx]'Lake P Results'!AC413", 8.516)</f>
        <v>8.516</v>
      </c>
      <c r="O867" s="29">
        <f>HYPERLINK("[N&amp;P with New retention and Differentiation.xlsx]'Lake P Results'!AC413", 8.516)</f>
        <v>8.516</v>
      </c>
      <c r="P867" s="13"/>
      <c r="Q867" s="13"/>
      <c r="R867" s="29">
        <f>HYPERLINK("[N&amp;P Old retention.xlsx]'Lake P Results'!Y413", 20.86)</f>
        <v>20.86</v>
      </c>
      <c r="S867" s="29">
        <f>HYPERLINK("[N&amp;P New retention.xlsx]'Lake P Results'!Y413", 20.86)</f>
        <v>20.86</v>
      </c>
      <c r="T867" s="29">
        <f>HYPERLINK("[N&amp;P with New retention and Differentiation.xlsx]'Lake P Results'!Y413", 20.86)</f>
        <v>20.86</v>
      </c>
      <c r="U867" s="13"/>
      <c r="V867" s="13"/>
      <c r="W867" s="29">
        <f>HYPERLINK("[N&amp;P Old retention.xlsx]'Lake P Results'!V413", 56.17)</f>
        <v>56.17</v>
      </c>
      <c r="X867" s="29">
        <f>HYPERLINK("[N&amp;P New retention.xlsx]'Lake P Results'!V413", 56.17)</f>
        <v>56.17</v>
      </c>
      <c r="Y867" s="29">
        <f>HYPERLINK("[N&amp;P with New retention and Differentiation.xlsx]'Lake P Results'!V413", 56.17)</f>
        <v>56.17</v>
      </c>
      <c r="Z867" s="13"/>
      <c r="AA867" s="13"/>
      <c r="AB867" s="13"/>
      <c r="AC867" s="13"/>
      <c r="AD867" s="13"/>
      <c r="AE867" s="13"/>
      <c r="AF867" s="13"/>
      <c r="AG867" s="29">
        <f>HYPERLINK("[N&amp;P Old retention.xlsx]'Lake P Results'!AA413", 10.08)</f>
        <v>10.08</v>
      </c>
      <c r="AH867" s="29">
        <f>HYPERLINK("[N&amp;P New retention.xlsx]'Lake P Results'!AA413", 10.08)</f>
        <v>10.08</v>
      </c>
      <c r="AI867" s="29">
        <f>HYPERLINK("[N&amp;P with New retention and Differentiation.xlsx]'Lake P Results'!AA413", 10.08)</f>
        <v>10.08</v>
      </c>
      <c r="AJ867" s="13"/>
      <c r="AK867" s="13"/>
      <c r="AL867" s="13"/>
      <c r="AM867" s="13"/>
      <c r="AN867" s="13"/>
      <c r="AO867" s="13"/>
      <c r="AP867" s="13"/>
      <c r="AQ867" s="28">
        <f>HYPERLINK("[N&amp;P Old retention.xlsx]'Lake P Results'!AH413", 160)</f>
        <v>160</v>
      </c>
      <c r="AR867" s="28">
        <f>HYPERLINK("[N&amp;P New retention.xlsx]'Lake P Results'!AH413", 160)</f>
        <v>160</v>
      </c>
      <c r="AS867" s="28">
        <f>HYPERLINK("[N&amp;P with New retention and Differentiation.xlsx]'Lake P Results'!AH413", 160)</f>
        <v>160</v>
      </c>
      <c r="AT867" s="13"/>
      <c r="AU867" s="13"/>
      <c r="AV867" s="13"/>
      <c r="AW867" s="13"/>
      <c r="AX867" s="13"/>
      <c r="AY867" s="13"/>
      <c r="AZ867" s="13"/>
      <c r="BA867" s="29">
        <f>HYPERLINK("[N&amp;P Old retention.xlsx]'Lake P Results'!O413", 197.44)</f>
        <v>197.44</v>
      </c>
      <c r="BB867" s="29">
        <f>HYPERLINK("[N&amp;P New retention.xlsx]'Lake P Results'!O413", 197.44)</f>
        <v>197.44</v>
      </c>
      <c r="BC867" s="29">
        <f>HYPERLINK("[N&amp;P with New retention and Differentiation.xlsx]'Lake P Results'!O413", 197.44)</f>
        <v>197.44</v>
      </c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</row>
    <row r="868" spans="1:67" x14ac:dyDescent="0.55000000000000004">
      <c r="A868" s="30">
        <v>963</v>
      </c>
      <c r="B868" s="6" t="s">
        <v>716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27">
        <f>HYPERLINK("[N&amp;P New retention.xlsx]'Lake P Results'!O414", 4.8)</f>
        <v>4.8</v>
      </c>
      <c r="BC868" s="18"/>
      <c r="BD868" s="46">
        <f>BB868-BA868</f>
        <v>4.8</v>
      </c>
      <c r="BE868" s="18"/>
      <c r="BF868" s="18"/>
      <c r="BG868" s="18"/>
      <c r="BH868" s="18"/>
      <c r="BI868" s="18"/>
      <c r="BJ868" s="18"/>
      <c r="BK868" s="27">
        <f>HYPERLINK("[N&amp;P Old retention.xlsx]'Lake P Results'!Q414", 3.934)</f>
        <v>3.9340000000000002</v>
      </c>
      <c r="BL868" s="27">
        <f>HYPERLINK("[N&amp;P New retention.xlsx]'Lake P Results'!Q414", 3.934)</f>
        <v>3.9340000000000002</v>
      </c>
      <c r="BM868" s="27">
        <f>HYPERLINK("[N&amp;P with New retention and Differentiation.xlsx]'Lake P Results'!Q414", 3.934)</f>
        <v>3.9340000000000002</v>
      </c>
      <c r="BN868" s="18"/>
      <c r="BO868" s="18"/>
    </row>
    <row r="869" spans="1:67" x14ac:dyDescent="0.55000000000000004">
      <c r="A869" s="31">
        <v>965</v>
      </c>
      <c r="B869" s="5" t="s">
        <v>717</v>
      </c>
      <c r="C869" s="29">
        <f>HYPERLINK("[N&amp;P Old retention.xlsx]'Lake P Results'!AE415", 20.608)</f>
        <v>20.608000000000001</v>
      </c>
      <c r="D869" s="29">
        <f>HYPERLINK("[N&amp;P New retention.xlsx]'Lake P Results'!AE415", 20.608)</f>
        <v>20.608000000000001</v>
      </c>
      <c r="E869" s="29">
        <f>HYPERLINK("[N&amp;P with New retention and Differentiation.xlsx]'Lake P Results'!AE415", 20.608)</f>
        <v>20.608000000000001</v>
      </c>
      <c r="F869" s="13"/>
      <c r="G869" s="13"/>
      <c r="H869" s="28">
        <f>HYPERLINK("[N&amp;P Old retention.xlsx]'Lake P Results'!AM415", 26400)</f>
        <v>26400</v>
      </c>
      <c r="I869" s="28">
        <f>HYPERLINK("[N&amp;P New retention.xlsx]'Lake P Results'!AM415", 26400)</f>
        <v>26400</v>
      </c>
      <c r="J869" s="28">
        <f>HYPERLINK("[N&amp;P with New retention and Differentiation.xlsx]'Lake P Results'!AM415", 26400)</f>
        <v>26400</v>
      </c>
      <c r="K869" s="13"/>
      <c r="L869" s="13"/>
      <c r="M869" s="29">
        <f>HYPERLINK("[N&amp;P Old retention.xlsx]'Lake P Results'!AC415", 9.76)</f>
        <v>9.76</v>
      </c>
      <c r="N869" s="29">
        <f>HYPERLINK("[N&amp;P New retention.xlsx]'Lake P Results'!AC415", 9.76)</f>
        <v>9.76</v>
      </c>
      <c r="O869" s="29">
        <f>HYPERLINK("[N&amp;P with New retention and Differentiation.xlsx]'Lake P Results'!AC415", 12.37)</f>
        <v>12.37</v>
      </c>
      <c r="P869" s="13"/>
      <c r="Q869" s="46">
        <f>O869-M869</f>
        <v>2.6099999999999994</v>
      </c>
      <c r="R869" s="29">
        <f>HYPERLINK("[N&amp;P Old retention.xlsx]'Lake P Results'!Y415", 113.842)</f>
        <v>113.842</v>
      </c>
      <c r="S869" s="29">
        <f>HYPERLINK("[N&amp;P New retention.xlsx]'Lake P Results'!Y415", 113.392)</f>
        <v>113.392</v>
      </c>
      <c r="T869" s="29">
        <f>HYPERLINK("[N&amp;P with New retention and Differentiation.xlsx]'Lake P Results'!Y415", 113.392)</f>
        <v>113.392</v>
      </c>
      <c r="U869" s="47">
        <f>S869-R869</f>
        <v>-0.45000000000000284</v>
      </c>
      <c r="V869" s="47">
        <f>T869-R869</f>
        <v>-0.45000000000000284</v>
      </c>
      <c r="W869" s="29">
        <f>HYPERLINK("[N&amp;P Old retention.xlsx]'Lake P Results'!V415", 119.04)</f>
        <v>119.04</v>
      </c>
      <c r="X869" s="29">
        <f>HYPERLINK("[N&amp;P New retention.xlsx]'Lake P Results'!V415", 119.04)</f>
        <v>119.04</v>
      </c>
      <c r="Y869" s="29">
        <f>HYPERLINK("[N&amp;P with New retention and Differentiation.xlsx]'Lake P Results'!V415", 119.04)</f>
        <v>119.04</v>
      </c>
      <c r="Z869" s="13"/>
      <c r="AA869" s="13"/>
      <c r="AB869" s="29">
        <f>HYPERLINK("[N&amp;P Old retention.xlsx]'Lake P Results'!Z415", 10.32)</f>
        <v>10.32</v>
      </c>
      <c r="AC869" s="29">
        <f>HYPERLINK("[N&amp;P New retention.xlsx]'Lake P Results'!Z415", 10.77)</f>
        <v>10.77</v>
      </c>
      <c r="AD869" s="29">
        <f>HYPERLINK("[N&amp;P with New retention and Differentiation.xlsx]'Lake P Results'!Z415", 8.16)</f>
        <v>8.16</v>
      </c>
      <c r="AE869" s="46">
        <f>AC869-AB869</f>
        <v>0.44999999999999929</v>
      </c>
      <c r="AF869" s="47">
        <f>AD869-AB869</f>
        <v>-2.16</v>
      </c>
      <c r="AG869" s="29">
        <f>HYPERLINK("[N&amp;P Old retention.xlsx]'Lake P Results'!AA415", 3.13)</f>
        <v>3.13</v>
      </c>
      <c r="AH869" s="29">
        <f>HYPERLINK("[N&amp;P New retention.xlsx]'Lake P Results'!AA415", 3.13)</f>
        <v>3.13</v>
      </c>
      <c r="AI869" s="29">
        <f>HYPERLINK("[N&amp;P with New retention and Differentiation.xlsx]'Lake P Results'!AA415", 3.13)</f>
        <v>3.13</v>
      </c>
      <c r="AJ869" s="13"/>
      <c r="AK869" s="13"/>
      <c r="AL869" s="13"/>
      <c r="AM869" s="13"/>
      <c r="AN869" s="13"/>
      <c r="AO869" s="13"/>
      <c r="AP869" s="13"/>
      <c r="AQ869" s="28">
        <f>HYPERLINK("[N&amp;P Old retention.xlsx]'Lake P Results'!AH415", 1850)</f>
        <v>1850</v>
      </c>
      <c r="AR869" s="28">
        <f>HYPERLINK("[N&amp;P New retention.xlsx]'Lake P Results'!AH415", 1850)</f>
        <v>1850</v>
      </c>
      <c r="AS869" s="28">
        <f>HYPERLINK("[N&amp;P with New retention and Differentiation.xlsx]'Lake P Results'!AH415", 1850)</f>
        <v>1850</v>
      </c>
      <c r="AT869" s="13"/>
      <c r="AU869" s="13"/>
      <c r="AV869" s="13"/>
      <c r="AW869" s="13"/>
      <c r="AX869" s="13"/>
      <c r="AY869" s="13"/>
      <c r="AZ869" s="13"/>
      <c r="BA869" s="29">
        <f>HYPERLINK("[N&amp;P Old retention.xlsx]'Lake P Results'!O415", 1576.418)</f>
        <v>1576.4179999999999</v>
      </c>
      <c r="BB869" s="29">
        <f>HYPERLINK("[N&amp;P New retention.xlsx]'Lake P Results'!O415", 1576.418)</f>
        <v>1576.4179999999999</v>
      </c>
      <c r="BC869" s="29">
        <f>HYPERLINK("[N&amp;P with New retention and Differentiation.xlsx]'Lake P Results'!O415", 1576.418)</f>
        <v>1576.4179999999999</v>
      </c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</row>
    <row r="870" spans="1:67" x14ac:dyDescent="0.55000000000000004">
      <c r="A870" s="30">
        <v>968</v>
      </c>
      <c r="B870" s="6" t="s">
        <v>718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</row>
    <row r="871" spans="1:67" x14ac:dyDescent="0.55000000000000004">
      <c r="A871" s="31">
        <v>972</v>
      </c>
      <c r="B871" s="5" t="s">
        <v>719</v>
      </c>
      <c r="C871" s="29">
        <f>HYPERLINK("[N&amp;P Old retention.xlsx]'Lake P Results'!AE417", 0.73)</f>
        <v>0.73</v>
      </c>
      <c r="D871" s="29">
        <f>HYPERLINK("[N&amp;P New retention.xlsx]'Lake P Results'!AE417", 0.57)</f>
        <v>0.56999999999999995</v>
      </c>
      <c r="E871" s="29">
        <f>HYPERLINK("[N&amp;P with New retention and Differentiation.xlsx]'Lake P Results'!AE417", 0.68)</f>
        <v>0.68</v>
      </c>
      <c r="F871" s="47">
        <f>D871-C871</f>
        <v>-0.16000000000000003</v>
      </c>
      <c r="G871" s="47">
        <f>E871-C871</f>
        <v>-4.9999999999999933E-2</v>
      </c>
      <c r="H871" s="28">
        <f>HYPERLINK("[N&amp;P Old retention.xlsx]'Lake P Results'!AM417", 7700)</f>
        <v>7700</v>
      </c>
      <c r="I871" s="28">
        <f>HYPERLINK("[N&amp;P New retention.xlsx]'Lake P Results'!AM417", 8200)</f>
        <v>8200</v>
      </c>
      <c r="J871" s="28">
        <f>HYPERLINK("[N&amp;P with New retention and Differentiation.xlsx]'Lake P Results'!AM417", 7900)</f>
        <v>7900</v>
      </c>
      <c r="K871" s="16">
        <f>I871-H871</f>
        <v>500</v>
      </c>
      <c r="L871" s="16">
        <f>J871-H871</f>
        <v>200</v>
      </c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29">
        <f>HYPERLINK("[N&amp;P Old retention.xlsx]'Lake P Results'!AA417", 8.144)</f>
        <v>8.1440000000000001</v>
      </c>
      <c r="AH871" s="29">
        <f>HYPERLINK("[N&amp;P New retention.xlsx]'Lake P Results'!AA417", 7.39)</f>
        <v>7.39</v>
      </c>
      <c r="AI871" s="29">
        <f>HYPERLINK("[N&amp;P with New retention and Differentiation.xlsx]'Lake P Results'!AA417", 7.39)</f>
        <v>7.39</v>
      </c>
      <c r="AJ871" s="47">
        <f>AH871-AG871</f>
        <v>-0.75400000000000045</v>
      </c>
      <c r="AK871" s="47">
        <f>AI871-AG871</f>
        <v>-0.75400000000000045</v>
      </c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</row>
    <row r="872" spans="1:67" x14ac:dyDescent="0.55000000000000004">
      <c r="A872" s="30">
        <v>974</v>
      </c>
      <c r="B872" s="6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</row>
    <row r="873" spans="1:67" x14ac:dyDescent="0.55000000000000004">
      <c r="A873" s="31">
        <v>985</v>
      </c>
      <c r="B873" s="5" t="s">
        <v>720</v>
      </c>
      <c r="C873" s="29">
        <f>HYPERLINK("[N&amp;P Old retention.xlsx]'Lake P Results'!AE419", 3.46)</f>
        <v>3.46</v>
      </c>
      <c r="D873" s="29">
        <f>HYPERLINK("[N&amp;P New retention.xlsx]'Lake P Results'!AE419", 3.46)</f>
        <v>3.46</v>
      </c>
      <c r="E873" s="29">
        <f>HYPERLINK("[N&amp;P with New retention and Differentiation.xlsx]'Lake P Results'!AE419", 3.46)</f>
        <v>3.46</v>
      </c>
      <c r="F873" s="13"/>
      <c r="G873" s="13"/>
      <c r="H873" s="28">
        <f>HYPERLINK("[N&amp;P Old retention.xlsx]'Lake P Results'!AM419", 10100)</f>
        <v>10100</v>
      </c>
      <c r="I873" s="28">
        <f>HYPERLINK("[N&amp;P New retention.xlsx]'Lake P Results'!AM419", 10100)</f>
        <v>10100</v>
      </c>
      <c r="J873" s="28">
        <f>HYPERLINK("[N&amp;P with New retention and Differentiation.xlsx]'Lake P Results'!AM419", 10100)</f>
        <v>10100</v>
      </c>
      <c r="K873" s="13"/>
      <c r="L873" s="13"/>
      <c r="M873" s="29">
        <f>HYPERLINK("[N&amp;P Old retention.xlsx]'Lake P Results'!AC419", 0.43)</f>
        <v>0.43</v>
      </c>
      <c r="N873" s="29">
        <f>HYPERLINK("[N&amp;P New retention.xlsx]'Lake P Results'!AC419", 0.43)</f>
        <v>0.43</v>
      </c>
      <c r="O873" s="29">
        <f>HYPERLINK("[N&amp;P with New retention and Differentiation.xlsx]'Lake P Results'!AC419", 0.43)</f>
        <v>0.43</v>
      </c>
      <c r="P873" s="13"/>
      <c r="Q873" s="13"/>
      <c r="R873" s="29">
        <f>HYPERLINK("[N&amp;P Old retention.xlsx]'Lake P Results'!Y419", 40.29)</f>
        <v>40.29</v>
      </c>
      <c r="S873" s="29">
        <f>HYPERLINK("[N&amp;P New retention.xlsx]'Lake P Results'!Y419", 45.91)</f>
        <v>45.91</v>
      </c>
      <c r="T873" s="29">
        <f>HYPERLINK("[N&amp;P with New retention and Differentiation.xlsx]'Lake P Results'!Y419", 45.91)</f>
        <v>45.91</v>
      </c>
      <c r="U873" s="46">
        <f>S873-R873</f>
        <v>5.6199999999999974</v>
      </c>
      <c r="V873" s="46">
        <f>T873-R873</f>
        <v>5.6199999999999974</v>
      </c>
      <c r="W873" s="29">
        <f>HYPERLINK("[N&amp;P Old retention.xlsx]'Lake P Results'!V419", 11.38)</f>
        <v>11.38</v>
      </c>
      <c r="X873" s="29">
        <f>HYPERLINK("[N&amp;P New retention.xlsx]'Lake P Results'!V419", 11.38)</f>
        <v>11.38</v>
      </c>
      <c r="Y873" s="29">
        <f>HYPERLINK("[N&amp;P with New retention and Differentiation.xlsx]'Lake P Results'!V419", 11.38)</f>
        <v>11.38</v>
      </c>
      <c r="Z873" s="13"/>
      <c r="AA873" s="13"/>
      <c r="AB873" s="29">
        <f>HYPERLINK("[N&amp;P Old retention.xlsx]'Lake P Results'!Z419", 5.62)</f>
        <v>5.62</v>
      </c>
      <c r="AC873" s="13"/>
      <c r="AD873" s="13"/>
      <c r="AE873" s="47">
        <f>AC873-AB873</f>
        <v>-5.62</v>
      </c>
      <c r="AF873" s="47">
        <f>AD873-AB873</f>
        <v>-5.62</v>
      </c>
      <c r="AG873" s="29">
        <f>HYPERLINK("[N&amp;P Old retention.xlsx]'Lake P Results'!AA419", 20.71)</f>
        <v>20.71</v>
      </c>
      <c r="AH873" s="29">
        <f>HYPERLINK("[N&amp;P New retention.xlsx]'Lake P Results'!AA419", 20.71)</f>
        <v>20.71</v>
      </c>
      <c r="AI873" s="29">
        <f>HYPERLINK("[N&amp;P with New retention and Differentiation.xlsx]'Lake P Results'!AA419", 20.71)</f>
        <v>20.71</v>
      </c>
      <c r="AJ873" s="13"/>
      <c r="AK873" s="13"/>
      <c r="AL873" s="13"/>
      <c r="AM873" s="13"/>
      <c r="AN873" s="13"/>
      <c r="AO873" s="13"/>
      <c r="AP873" s="13"/>
      <c r="AQ873" s="28">
        <f>HYPERLINK("[N&amp;P Old retention.xlsx]'Lake P Results'!AH419", 20)</f>
        <v>20</v>
      </c>
      <c r="AR873" s="28">
        <f>HYPERLINK("[N&amp;P New retention.xlsx]'Lake P Results'!AH419", 20)</f>
        <v>20</v>
      </c>
      <c r="AS873" s="28">
        <f>HYPERLINK("[N&amp;P with New retention and Differentiation.xlsx]'Lake P Results'!AH419", 20)</f>
        <v>20</v>
      </c>
      <c r="AT873" s="13"/>
      <c r="AU873" s="13"/>
      <c r="AV873" s="13"/>
      <c r="AW873" s="13"/>
      <c r="AX873" s="13"/>
      <c r="AY873" s="13"/>
      <c r="AZ873" s="13"/>
      <c r="BA873" s="29">
        <f>HYPERLINK("[N&amp;P Old retention.xlsx]'Lake P Results'!O419", 110.9)</f>
        <v>110.9</v>
      </c>
      <c r="BB873" s="29">
        <f>HYPERLINK("[N&amp;P New retention.xlsx]'Lake P Results'!O419", 110.9)</f>
        <v>110.9</v>
      </c>
      <c r="BC873" s="29">
        <f>HYPERLINK("[N&amp;P with New retention and Differentiation.xlsx]'Lake P Results'!O419", 110.9)</f>
        <v>110.9</v>
      </c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</row>
    <row r="874" spans="1:67" x14ac:dyDescent="0.55000000000000004">
      <c r="A874" s="30">
        <v>1000</v>
      </c>
      <c r="B874" s="6" t="s">
        <v>721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27">
        <f>HYPERLINK("[N&amp;P Old retention.xlsx]'Lake P Results'!M420", 6.09)</f>
        <v>6.09</v>
      </c>
      <c r="AW874" s="18"/>
      <c r="AX874" s="18"/>
      <c r="AY874" s="47">
        <f>AW874-AV874</f>
        <v>-6.09</v>
      </c>
      <c r="AZ874" s="47">
        <f>AX874-AV874</f>
        <v>-6.09</v>
      </c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</row>
    <row r="875" spans="1:67" x14ac:dyDescent="0.55000000000000004">
      <c r="A875" s="31">
        <v>1115</v>
      </c>
      <c r="B875" s="5" t="s">
        <v>722</v>
      </c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</row>
    <row r="876" spans="1:67" x14ac:dyDescent="0.55000000000000004">
      <c r="A876" s="30">
        <v>1217</v>
      </c>
      <c r="B876" s="6" t="s">
        <v>723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</row>
    <row r="877" spans="1:67" x14ac:dyDescent="0.55000000000000004">
      <c r="A877" s="31">
        <v>1502</v>
      </c>
      <c r="B877" s="5" t="s">
        <v>724</v>
      </c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29">
        <f>HYPERLINK("[N&amp;P Old retention.xlsx]'Lake P Results'!M423", 1.36)</f>
        <v>1.36</v>
      </c>
      <c r="AW877" s="13"/>
      <c r="AX877" s="13"/>
      <c r="AY877" s="47">
        <f>AW877-AV877</f>
        <v>-1.36</v>
      </c>
      <c r="AZ877" s="47">
        <f>AX877-AV877</f>
        <v>-1.36</v>
      </c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</row>
    <row r="878" spans="1:67" x14ac:dyDescent="0.55000000000000004">
      <c r="A878" s="30">
        <v>1514</v>
      </c>
      <c r="B878" s="6" t="s">
        <v>725</v>
      </c>
      <c r="C878" s="18"/>
      <c r="D878" s="18"/>
      <c r="E878" s="18"/>
      <c r="F878" s="18"/>
      <c r="G878" s="18"/>
      <c r="H878" s="26">
        <f>HYPERLINK("[N&amp;P Old retention.xlsx]'Lake P Results'!AM424", 100)</f>
        <v>100</v>
      </c>
      <c r="I878" s="26">
        <f>HYPERLINK("[N&amp;P New retention.xlsx]'Lake P Results'!AM424", 100)</f>
        <v>100</v>
      </c>
      <c r="J878" s="26">
        <f>HYPERLINK("[N&amp;P with New retention and Differentiation.xlsx]'Lake P Results'!AM424", 100)</f>
        <v>100</v>
      </c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</row>
    <row r="879" spans="1:67" x14ac:dyDescent="0.55000000000000004">
      <c r="A879" s="31">
        <v>1803</v>
      </c>
      <c r="B879" s="5" t="s">
        <v>726</v>
      </c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</row>
    <row r="880" spans="1:67" x14ac:dyDescent="0.55000000000000004">
      <c r="A880" s="30">
        <v>1813</v>
      </c>
      <c r="B880" s="6" t="s">
        <v>727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27">
        <f>HYPERLINK("[N&amp;P Old retention.xlsx]'Lake P Results'!M426", 34.916)</f>
        <v>34.915999999999997</v>
      </c>
      <c r="AW880" s="27">
        <f>HYPERLINK("[N&amp;P New retention.xlsx]'Lake P Results'!M426", 27.826)</f>
        <v>27.826000000000001</v>
      </c>
      <c r="AX880" s="27">
        <f>HYPERLINK("[N&amp;P with New retention and Differentiation.xlsx]'Lake P Results'!M426", 27.826)</f>
        <v>27.826000000000001</v>
      </c>
      <c r="AY880" s="47">
        <f>AW880-AV880</f>
        <v>-7.0899999999999963</v>
      </c>
      <c r="AZ880" s="47">
        <f>AX880-AV880</f>
        <v>-7.0899999999999963</v>
      </c>
      <c r="BA880" s="18"/>
      <c r="BB880" s="18"/>
      <c r="BC880" s="18"/>
      <c r="BD880" s="18"/>
      <c r="BE880" s="18"/>
      <c r="BF880" s="27">
        <f>HYPERLINK("[N&amp;P Old retention.xlsx]'Lake P Results'!R426", 4.35)</f>
        <v>4.3499999999999996</v>
      </c>
      <c r="BG880" s="27">
        <f>HYPERLINK("[N&amp;P New retention.xlsx]'Lake P Results'!R426", 4.35)</f>
        <v>4.3499999999999996</v>
      </c>
      <c r="BH880" s="27">
        <f>HYPERLINK("[N&amp;P with New retention and Differentiation.xlsx]'Lake P Results'!R426", 4.35)</f>
        <v>4.3499999999999996</v>
      </c>
      <c r="BI880" s="18"/>
      <c r="BJ880" s="18"/>
      <c r="BK880" s="27">
        <f>HYPERLINK("[N&amp;P Old retention.xlsx]'Lake P Results'!Q426", 10.72)</f>
        <v>10.72</v>
      </c>
      <c r="BL880" s="27">
        <f>HYPERLINK("[N&amp;P New retention.xlsx]'Lake P Results'!Q426", 11.656)</f>
        <v>11.656000000000001</v>
      </c>
      <c r="BM880" s="27">
        <f>HYPERLINK("[N&amp;P with New retention and Differentiation.xlsx]'Lake P Results'!Q426", 11.656)</f>
        <v>11.656000000000001</v>
      </c>
      <c r="BN880" s="46">
        <f>BL880-BK880</f>
        <v>0.93599999999999994</v>
      </c>
      <c r="BO880" s="46">
        <f>BM880-BK880</f>
        <v>0.93599999999999994</v>
      </c>
    </row>
    <row r="881" spans="1:67" x14ac:dyDescent="0.55000000000000004">
      <c r="A881" s="31">
        <v>2103</v>
      </c>
      <c r="B881" s="5" t="s">
        <v>728</v>
      </c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29">
        <f>HYPERLINK("[N&amp;P Old retention.xlsx]'Lake P Results'!AC427", 0.008)</f>
        <v>8.0000000000000002E-3</v>
      </c>
      <c r="N881" s="13"/>
      <c r="O881" s="13"/>
      <c r="P881" s="47">
        <f>N881-M881</f>
        <v>-8.0000000000000002E-3</v>
      </c>
      <c r="Q881" s="47">
        <f>O881-M881</f>
        <v>-8.0000000000000002E-3</v>
      </c>
      <c r="R881" s="13"/>
      <c r="S881" s="29">
        <f>HYPERLINK("[N&amp;P New retention.xlsx]'Lake P Results'!Y427", 0.008)</f>
        <v>8.0000000000000002E-3</v>
      </c>
      <c r="T881" s="29">
        <f>HYPERLINK("[N&amp;P with New retention and Differentiation.xlsx]'Lake P Results'!Y427", 0.008)</f>
        <v>8.0000000000000002E-3</v>
      </c>
      <c r="U881" s="46">
        <f>S881-R881</f>
        <v>8.0000000000000002E-3</v>
      </c>
      <c r="V881" s="46">
        <f>T881-R881</f>
        <v>8.0000000000000002E-3</v>
      </c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29">
        <f>HYPERLINK("[N&amp;P Old retention.xlsx]'Lake P Results'!O427", 3.19)</f>
        <v>3.19</v>
      </c>
      <c r="BB881" s="13"/>
      <c r="BC881" s="13"/>
      <c r="BD881" s="47">
        <f>BB881-BA881</f>
        <v>-3.19</v>
      </c>
      <c r="BE881" s="47">
        <f>BC881-BA881</f>
        <v>-3.19</v>
      </c>
      <c r="BF881" s="29">
        <f>HYPERLINK("[N&amp;P Old retention.xlsx]'Lake P Results'!R427", 3.058)</f>
        <v>3.0579999999999998</v>
      </c>
      <c r="BG881" s="29">
        <f>HYPERLINK("[N&amp;P New retention.xlsx]'Lake P Results'!R427", 3.058)</f>
        <v>3.0579999999999998</v>
      </c>
      <c r="BH881" s="29">
        <f>HYPERLINK("[N&amp;P with New retention and Differentiation.xlsx]'Lake P Results'!R427", 3.058)</f>
        <v>3.0579999999999998</v>
      </c>
      <c r="BI881" s="13"/>
      <c r="BJ881" s="13"/>
      <c r="BK881" s="13"/>
      <c r="BL881" s="29">
        <f>HYPERLINK("[N&amp;P New retention.xlsx]'Lake P Results'!Q427", 0.470000000000001)</f>
        <v>0.47000000000000097</v>
      </c>
      <c r="BM881" s="29">
        <f>HYPERLINK("[N&amp;P with New retention and Differentiation.xlsx]'Lake P Results'!Q427", 0.470000000000001)</f>
        <v>0.47000000000000097</v>
      </c>
      <c r="BN881" s="46">
        <f>BL881-BK881</f>
        <v>0.47000000000000097</v>
      </c>
      <c r="BO881" s="46">
        <f>BM881-BK881</f>
        <v>0.47000000000000097</v>
      </c>
    </row>
    <row r="882" spans="1:67" x14ac:dyDescent="0.55000000000000004">
      <c r="A882" s="30">
        <v>3000</v>
      </c>
      <c r="B882" s="6" t="s">
        <v>729</v>
      </c>
      <c r="C882" s="18"/>
      <c r="D882" s="18"/>
      <c r="E882" s="18"/>
      <c r="F882" s="18"/>
      <c r="G882" s="18"/>
      <c r="H882" s="26">
        <f>HYPERLINK("[N&amp;P Old retention.xlsx]'Lake P Results'!AM428", 100)</f>
        <v>100</v>
      </c>
      <c r="I882" s="26">
        <f>HYPERLINK("[N&amp;P New retention.xlsx]'Lake P Results'!AM428", 100)</f>
        <v>100</v>
      </c>
      <c r="J882" s="26">
        <f>HYPERLINK("[N&amp;P with New retention and Differentiation.xlsx]'Lake P Results'!AM428", 100)</f>
        <v>100</v>
      </c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26">
        <f>HYPERLINK("[N&amp;P Old retention.xlsx]'Lake P Results'!AH428", 100)</f>
        <v>100</v>
      </c>
      <c r="AR882" s="26">
        <f>HYPERLINK("[N&amp;P New retention.xlsx]'Lake P Results'!AH428", 100)</f>
        <v>100</v>
      </c>
      <c r="AS882" s="26">
        <f>HYPERLINK("[N&amp;P with New retention and Differentiation.xlsx]'Lake P Results'!AH428", 100)</f>
        <v>100</v>
      </c>
      <c r="AT882" s="18"/>
      <c r="AU882" s="18"/>
      <c r="AV882" s="27">
        <f>HYPERLINK("[N&amp;P Old retention.xlsx]'Lake P Results'!M428", 5.19)</f>
        <v>5.19</v>
      </c>
      <c r="AW882" s="27">
        <f>HYPERLINK("[N&amp;P New retention.xlsx]'Lake P Results'!M428", 5.19)</f>
        <v>5.19</v>
      </c>
      <c r="AX882" s="27">
        <f>HYPERLINK("[N&amp;P with New retention and Differentiation.xlsx]'Lake P Results'!M428", 5.19)</f>
        <v>5.19</v>
      </c>
      <c r="AY882" s="18"/>
      <c r="AZ882" s="18"/>
      <c r="BA882" s="18"/>
      <c r="BB882" s="18"/>
      <c r="BC882" s="18"/>
      <c r="BD882" s="18"/>
      <c r="BE882" s="18"/>
      <c r="BF882" s="27">
        <f>HYPERLINK("[N&amp;P Old retention.xlsx]'Lake P Results'!R428", 0.6)</f>
        <v>0.6</v>
      </c>
      <c r="BG882" s="27">
        <f>HYPERLINK("[N&amp;P New retention.xlsx]'Lake P Results'!R428", 0.6)</f>
        <v>0.6</v>
      </c>
      <c r="BH882" s="27">
        <f>HYPERLINK("[N&amp;P with New retention and Differentiation.xlsx]'Lake P Results'!R428", 0.6)</f>
        <v>0.6</v>
      </c>
      <c r="BI882" s="18"/>
      <c r="BJ882" s="18"/>
      <c r="BK882" s="27">
        <f>HYPERLINK("[N&amp;P Old retention.xlsx]'Lake P Results'!Q428", 0.17)</f>
        <v>0.17</v>
      </c>
      <c r="BL882" s="27">
        <f>HYPERLINK("[N&amp;P New retention.xlsx]'Lake P Results'!Q428", 0.17)</f>
        <v>0.17</v>
      </c>
      <c r="BM882" s="27">
        <f>HYPERLINK("[N&amp;P with New retention and Differentiation.xlsx]'Lake P Results'!Q428", 0.17)</f>
        <v>0.17</v>
      </c>
      <c r="BN882" s="18"/>
      <c r="BO882" s="18"/>
    </row>
    <row r="883" spans="1:67" x14ac:dyDescent="0.55000000000000004">
      <c r="A883" s="31">
        <v>3001</v>
      </c>
      <c r="B883" s="5" t="s">
        <v>730</v>
      </c>
      <c r="C883" s="29">
        <f>HYPERLINK("[N&amp;P Old retention.xlsx]'Lake P Results'!AE429", 0.0099999999999999)</f>
        <v>9.9999999999998996E-3</v>
      </c>
      <c r="D883" s="29">
        <f>HYPERLINK("[N&amp;P New retention.xlsx]'Lake P Results'!AE429", 0.0099999999999999)</f>
        <v>9.9999999999998996E-3</v>
      </c>
      <c r="E883" s="29">
        <f>HYPERLINK("[N&amp;P with New retention and Differentiation.xlsx]'Lake P Results'!AE429", 0.0099999999999999)</f>
        <v>9.9999999999998996E-3</v>
      </c>
      <c r="F883" s="13"/>
      <c r="G883" s="13"/>
      <c r="H883" s="13"/>
      <c r="I883" s="13"/>
      <c r="J883" s="13"/>
      <c r="K883" s="13"/>
      <c r="L883" s="13"/>
      <c r="M883" s="29">
        <f>HYPERLINK("[N&amp;P Old retention.xlsx]'Lake P Results'!AC429", 0.62)</f>
        <v>0.62</v>
      </c>
      <c r="N883" s="13"/>
      <c r="O883" s="29">
        <f>HYPERLINK("[N&amp;P with New retention and Differentiation.xlsx]'Lake P Results'!AC429", 0.306)</f>
        <v>0.30599999999999999</v>
      </c>
      <c r="P883" s="47">
        <f>N883-M883</f>
        <v>-0.62</v>
      </c>
      <c r="Q883" s="47">
        <f>O883-M883</f>
        <v>-0.314</v>
      </c>
      <c r="R883" s="29">
        <f>HYPERLINK("[N&amp;P Old retention.xlsx]'Lake P Results'!Y429", 0.994)</f>
        <v>0.99399999999999999</v>
      </c>
      <c r="S883" s="29">
        <f>HYPERLINK("[N&amp;P New retention.xlsx]'Lake P Results'!Y429", 0.994)</f>
        <v>0.99399999999999999</v>
      </c>
      <c r="T883" s="29">
        <f>HYPERLINK("[N&amp;P with New retention and Differentiation.xlsx]'Lake P Results'!Y429", 0.994)</f>
        <v>0.99399999999999999</v>
      </c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</row>
    <row r="884" spans="1:67" x14ac:dyDescent="0.55000000000000004">
      <c r="A884" s="30">
        <v>3101</v>
      </c>
      <c r="B884" s="6" t="s">
        <v>731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</row>
    <row r="885" spans="1:67" x14ac:dyDescent="0.55000000000000004">
      <c r="A885" s="31">
        <v>3102</v>
      </c>
      <c r="B885" s="5" t="s">
        <v>732</v>
      </c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</row>
    <row r="886" spans="1:67" x14ac:dyDescent="0.55000000000000004">
      <c r="A886" s="30">
        <v>6237</v>
      </c>
      <c r="B886" s="6" t="s">
        <v>733</v>
      </c>
      <c r="C886" s="18"/>
      <c r="D886" s="18"/>
      <c r="E886" s="18"/>
      <c r="F886" s="18"/>
      <c r="G886" s="18"/>
      <c r="H886" s="26">
        <f>HYPERLINK("[N&amp;P Old retention.xlsx]'Lake P Results'!AM432", 300)</f>
        <v>300</v>
      </c>
      <c r="I886" s="26">
        <f>HYPERLINK("[N&amp;P New retention.xlsx]'Lake P Results'!AM432", 300)</f>
        <v>300</v>
      </c>
      <c r="J886" s="26">
        <f>HYPERLINK("[N&amp;P with New retention and Differentiation.xlsx]'Lake P Results'!AM432", 300)</f>
        <v>300</v>
      </c>
      <c r="K886" s="18"/>
      <c r="L886" s="18"/>
      <c r="M886" s="27">
        <f>HYPERLINK("[N&amp;P Old retention.xlsx]'Lake P Results'!AC432", 0.042)</f>
        <v>4.2000000000000003E-2</v>
      </c>
      <c r="N886" s="27">
        <f>HYPERLINK("[N&amp;P New retention.xlsx]'Lake P Results'!AC432", 0.042)</f>
        <v>4.2000000000000003E-2</v>
      </c>
      <c r="O886" s="27">
        <f>HYPERLINK("[N&amp;P with New retention and Differentiation.xlsx]'Lake P Results'!AC432", 0.042)</f>
        <v>4.2000000000000003E-2</v>
      </c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27">
        <f>HYPERLINK("[N&amp;P Old retention.xlsx]'Lake P Results'!O432", 32.41)</f>
        <v>32.409999999999997</v>
      </c>
      <c r="BB886" s="27">
        <f>HYPERLINK("[N&amp;P New retention.xlsx]'Lake P Results'!O432", 32.41)</f>
        <v>32.409999999999997</v>
      </c>
      <c r="BC886" s="27">
        <f>HYPERLINK("[N&amp;P with New retention and Differentiation.xlsx]'Lake P Results'!O432", 32.41)</f>
        <v>32.409999999999997</v>
      </c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</row>
    <row r="887" spans="1:67" x14ac:dyDescent="0.55000000000000004">
      <c r="A887" s="31">
        <v>6258</v>
      </c>
      <c r="B887" s="5" t="s">
        <v>734</v>
      </c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29">
        <f>HYPERLINK("[N&amp;P Old retention.xlsx]'Lake P Results'!O433", 16.8)</f>
        <v>16.8</v>
      </c>
      <c r="BB887" s="13"/>
      <c r="BC887" s="13"/>
      <c r="BD887" s="47">
        <f>BB887-BA887</f>
        <v>-16.8</v>
      </c>
      <c r="BE887" s="47">
        <f>BC887-BA887</f>
        <v>-16.8</v>
      </c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</row>
    <row r="888" spans="1:67" x14ac:dyDescent="0.55000000000000004">
      <c r="A888" s="30">
        <v>6340</v>
      </c>
      <c r="B888" s="6" t="s">
        <v>735</v>
      </c>
      <c r="C888" s="27">
        <f>HYPERLINK("[N&amp;P Old retention.xlsx]'Lake P Results'!AE434", 0.0279999999999999)</f>
        <v>2.79999999999999E-2</v>
      </c>
      <c r="D888" s="27">
        <f>HYPERLINK("[N&amp;P New retention.xlsx]'Lake P Results'!AE434", 0.0279999999999999)</f>
        <v>2.79999999999999E-2</v>
      </c>
      <c r="E888" s="27">
        <f>HYPERLINK("[N&amp;P with New retention and Differentiation.xlsx]'Lake P Results'!AE434", 0.0279999999999999)</f>
        <v>2.79999999999999E-2</v>
      </c>
      <c r="F888" s="18"/>
      <c r="G888" s="18"/>
      <c r="H888" s="26">
        <f>HYPERLINK("[N&amp;P Old retention.xlsx]'Lake P Results'!AM434", 1100)</f>
        <v>1100</v>
      </c>
      <c r="I888" s="26">
        <f>HYPERLINK("[N&amp;P New retention.xlsx]'Lake P Results'!AM434", 1000)</f>
        <v>1000</v>
      </c>
      <c r="J888" s="26">
        <f>HYPERLINK("[N&amp;P with New retention and Differentiation.xlsx]'Lake P Results'!AM434", 1000)</f>
        <v>1000</v>
      </c>
      <c r="K888" s="21">
        <f>I888-H888</f>
        <v>-100</v>
      </c>
      <c r="L888" s="21">
        <f>J888-H888</f>
        <v>-100</v>
      </c>
      <c r="M888" s="27">
        <f>HYPERLINK("[N&amp;P Old retention.xlsx]'Lake P Results'!AC434", 2.33)</f>
        <v>2.33</v>
      </c>
      <c r="N888" s="27">
        <f>HYPERLINK("[N&amp;P New retention.xlsx]'Lake P Results'!AC434", 2.33)</f>
        <v>2.33</v>
      </c>
      <c r="O888" s="27">
        <f>HYPERLINK("[N&amp;P with New retention and Differentiation.xlsx]'Lake P Results'!AC434", 1.61)</f>
        <v>1.61</v>
      </c>
      <c r="P888" s="18"/>
      <c r="Q888" s="47">
        <f>O888-M888</f>
        <v>-0.72</v>
      </c>
      <c r="R888" s="27">
        <f>HYPERLINK("[N&amp;P Old retention.xlsx]'Lake P Results'!Y434", 56.72)</f>
        <v>56.72</v>
      </c>
      <c r="S888" s="27">
        <f>HYPERLINK("[N&amp;P New retention.xlsx]'Lake P Results'!Y434", 5.06)</f>
        <v>5.0599999999999996</v>
      </c>
      <c r="T888" s="27">
        <f>HYPERLINK("[N&amp;P with New retention and Differentiation.xlsx]'Lake P Results'!Y434", 59.21)</f>
        <v>59.21</v>
      </c>
      <c r="U888" s="47">
        <f>S888-R888</f>
        <v>-51.66</v>
      </c>
      <c r="V888" s="46">
        <f>T888-R888</f>
        <v>2.490000000000002</v>
      </c>
      <c r="W888" s="27">
        <f>HYPERLINK("[N&amp;P Old retention.xlsx]'Lake P Results'!V434", 16.29)</f>
        <v>16.29</v>
      </c>
      <c r="X888" s="27">
        <f>HYPERLINK("[N&amp;P New retention.xlsx]'Lake P Results'!V434", 16.29)</f>
        <v>16.29</v>
      </c>
      <c r="Y888" s="18"/>
      <c r="Z888" s="18"/>
      <c r="AA888" s="47">
        <f>Y888-W888</f>
        <v>-16.29</v>
      </c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26">
        <f>HYPERLINK("[N&amp;P Old retention.xlsx]'Lake P Results'!AH434", 70)</f>
        <v>70</v>
      </c>
      <c r="AR888" s="26">
        <f>HYPERLINK("[N&amp;P New retention.xlsx]'Lake P Results'!AH434", 70)</f>
        <v>70</v>
      </c>
      <c r="AS888" s="26">
        <f>HYPERLINK("[N&amp;P with New retention and Differentiation.xlsx]'Lake P Results'!AH434", 70)</f>
        <v>70</v>
      </c>
      <c r="AT888" s="18"/>
      <c r="AU888" s="18"/>
      <c r="AV888" s="27">
        <f>HYPERLINK("[N&amp;P Old retention.xlsx]'Lake P Results'!M434", 16.3)</f>
        <v>16.3</v>
      </c>
      <c r="AW888" s="27">
        <f>HYPERLINK("[N&amp;P New retention.xlsx]'Lake P Results'!M434", 5.18)</f>
        <v>5.18</v>
      </c>
      <c r="AX888" s="27">
        <f>HYPERLINK("[N&amp;P with New retention and Differentiation.xlsx]'Lake P Results'!M434", 20.31)</f>
        <v>20.309999999999999</v>
      </c>
      <c r="AY888" s="47">
        <f>AW888-AV888</f>
        <v>-11.120000000000001</v>
      </c>
      <c r="AZ888" s="46">
        <f>AX888-AV888</f>
        <v>4.009999999999998</v>
      </c>
      <c r="BA888" s="27">
        <f>HYPERLINK("[N&amp;P Old retention.xlsx]'Lake P Results'!O434", 6.48)</f>
        <v>6.48</v>
      </c>
      <c r="BB888" s="27">
        <f>HYPERLINK("[N&amp;P New retention.xlsx]'Lake P Results'!O434", 65.53)</f>
        <v>65.53</v>
      </c>
      <c r="BC888" s="27">
        <f>HYPERLINK("[N&amp;P with New retention and Differentiation.xlsx]'Lake P Results'!O434", 16.29)</f>
        <v>16.29</v>
      </c>
      <c r="BD888" s="46">
        <f>BB888-BA888</f>
        <v>59.05</v>
      </c>
      <c r="BE888" s="46">
        <f>BC888-BA888</f>
        <v>9.8099999999999987</v>
      </c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</row>
    <row r="889" spans="1:67" x14ac:dyDescent="0.55000000000000004">
      <c r="A889" s="31">
        <v>6755</v>
      </c>
      <c r="B889" s="5" t="s">
        <v>736</v>
      </c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29">
        <f>HYPERLINK("[N&amp;P Old retention.xlsx]'Lake P Results'!M435", 83.868)</f>
        <v>83.867999999999995</v>
      </c>
      <c r="AW889" s="29">
        <f>HYPERLINK("[N&amp;P New retention.xlsx]'Lake P Results'!M435", 49.378)</f>
        <v>49.378</v>
      </c>
      <c r="AX889" s="29">
        <f>HYPERLINK("[N&amp;P with New retention and Differentiation.xlsx]'Lake P Results'!M435", 49.378)</f>
        <v>49.378</v>
      </c>
      <c r="AY889" s="47">
        <f>AW889-AV889</f>
        <v>-34.489999999999995</v>
      </c>
      <c r="AZ889" s="47">
        <f>AX889-AV889</f>
        <v>-34.489999999999995</v>
      </c>
      <c r="BA889" s="29">
        <f>HYPERLINK("[N&amp;P Old retention.xlsx]'Lake P Results'!O435", 13.86)</f>
        <v>13.86</v>
      </c>
      <c r="BB889" s="13"/>
      <c r="BC889" s="13"/>
      <c r="BD889" s="47">
        <f>BB889-BA889</f>
        <v>-13.86</v>
      </c>
      <c r="BE889" s="47">
        <f>BC889-BA889</f>
        <v>-13.86</v>
      </c>
      <c r="BF889" s="13"/>
      <c r="BG889" s="13"/>
      <c r="BH889" s="13"/>
      <c r="BI889" s="13"/>
      <c r="BJ889" s="13"/>
      <c r="BK889" s="29">
        <f>HYPERLINK("[N&amp;P Old retention.xlsx]'Lake P Results'!Q435", 4.17)</f>
        <v>4.17</v>
      </c>
      <c r="BL889" s="29">
        <f>HYPERLINK("[N&amp;P New retention.xlsx]'Lake P Results'!Q435", 4.17)</f>
        <v>4.17</v>
      </c>
      <c r="BM889" s="29">
        <f>HYPERLINK("[N&amp;P with New retention and Differentiation.xlsx]'Lake P Results'!Q435", 4.17)</f>
        <v>4.17</v>
      </c>
      <c r="BN889" s="13"/>
      <c r="BO889" s="13"/>
    </row>
    <row r="890" spans="1:67" x14ac:dyDescent="0.55000000000000004">
      <c r="A890" s="30">
        <v>6780</v>
      </c>
      <c r="B890" s="6" t="s">
        <v>737</v>
      </c>
      <c r="C890" s="18"/>
      <c r="D890" s="18"/>
      <c r="E890" s="18"/>
      <c r="F890" s="18"/>
      <c r="G890" s="18"/>
      <c r="H890" s="26">
        <f>HYPERLINK("[N&amp;P Old retention.xlsx]'Lake P Results'!AM436", 500)</f>
        <v>500</v>
      </c>
      <c r="I890" s="26">
        <f>HYPERLINK("[N&amp;P New retention.xlsx]'Lake P Results'!AM436", 500)</f>
        <v>500</v>
      </c>
      <c r="J890" s="26">
        <f>HYPERLINK("[N&amp;P with New retention and Differentiation.xlsx]'Lake P Results'!AM436", 500)</f>
        <v>500</v>
      </c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27">
        <f>HYPERLINK("[N&amp;P Old retention.xlsx]'Lake P Results'!Z436", 1.26)</f>
        <v>1.26</v>
      </c>
      <c r="AC890" s="18"/>
      <c r="AD890" s="18"/>
      <c r="AE890" s="47">
        <f>AC890-AB890</f>
        <v>-1.26</v>
      </c>
      <c r="AF890" s="47">
        <f>AD890-AB890</f>
        <v>-1.26</v>
      </c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27">
        <f>HYPERLINK("[N&amp;P Old retention.xlsx]'Lake P Results'!R436", 2.298)</f>
        <v>2.298</v>
      </c>
      <c r="BG890" s="27">
        <f>HYPERLINK("[N&amp;P New retention.xlsx]'Lake P Results'!R436", 2.298)</f>
        <v>2.298</v>
      </c>
      <c r="BH890" s="27">
        <f>HYPERLINK("[N&amp;P with New retention and Differentiation.xlsx]'Lake P Results'!R436", 2.298)</f>
        <v>2.298</v>
      </c>
      <c r="BI890" s="18"/>
      <c r="BJ890" s="18"/>
      <c r="BK890" s="27">
        <f>HYPERLINK("[N&amp;P Old retention.xlsx]'Lake P Results'!Q436", 0.48)</f>
        <v>0.48</v>
      </c>
      <c r="BL890" s="27">
        <f>HYPERLINK("[N&amp;P New retention.xlsx]'Lake P Results'!Q436", 0.23)</f>
        <v>0.23</v>
      </c>
      <c r="BM890" s="27">
        <f>HYPERLINK("[N&amp;P with New retention and Differentiation.xlsx]'Lake P Results'!Q436", 0.23)</f>
        <v>0.23</v>
      </c>
      <c r="BN890" s="47">
        <f>BL890-BK890</f>
        <v>-0.24999999999999997</v>
      </c>
      <c r="BO890" s="47">
        <f>BM890-BK890</f>
        <v>-0.24999999999999997</v>
      </c>
    </row>
    <row r="891" spans="1:67" x14ac:dyDescent="0.55000000000000004">
      <c r="A891" s="31">
        <v>7052</v>
      </c>
      <c r="B891" s="5" t="s">
        <v>738</v>
      </c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</row>
    <row r="892" spans="1:67" x14ac:dyDescent="0.55000000000000004">
      <c r="A892" s="30">
        <v>11004</v>
      </c>
      <c r="B892" s="6" t="s">
        <v>739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27">
        <f>HYPERLINK("[N&amp;P Old retention.xlsx]'Lake P Results'!M438", 324.958)</f>
        <v>324.95800000000003</v>
      </c>
      <c r="AW892" s="27">
        <f>HYPERLINK("[N&amp;P New retention.xlsx]'Lake P Results'!M438", 335.728)</f>
        <v>335.72800000000001</v>
      </c>
      <c r="AX892" s="27">
        <f>HYPERLINK("[N&amp;P with New retention and Differentiation.xlsx]'Lake P Results'!M438", 335.728)</f>
        <v>335.72800000000001</v>
      </c>
      <c r="AY892" s="46">
        <f>AW892-AV892</f>
        <v>10.769999999999982</v>
      </c>
      <c r="AZ892" s="46">
        <f>AX892-AV892</f>
        <v>10.769999999999982</v>
      </c>
      <c r="BA892" s="27">
        <f>HYPERLINK("[N&amp;P Old retention.xlsx]'Lake P Results'!O438", 31.42)</f>
        <v>31.42</v>
      </c>
      <c r="BB892" s="27">
        <f>HYPERLINK("[N&amp;P New retention.xlsx]'Lake P Results'!O438", 18.86)</f>
        <v>18.86</v>
      </c>
      <c r="BC892" s="27">
        <f>HYPERLINK("[N&amp;P with New retention and Differentiation.xlsx]'Lake P Results'!O438", 18.86)</f>
        <v>18.86</v>
      </c>
      <c r="BD892" s="47">
        <f>BB892-BA892</f>
        <v>-12.560000000000002</v>
      </c>
      <c r="BE892" s="47">
        <f>BC892-BA892</f>
        <v>-12.560000000000002</v>
      </c>
      <c r="BF892" s="27">
        <f>HYPERLINK("[N&amp;P Old retention.xlsx]'Lake P Results'!R438", 6.486)</f>
        <v>6.4859999999999998</v>
      </c>
      <c r="BG892" s="27">
        <f>HYPERLINK("[N&amp;P New retention.xlsx]'Lake P Results'!R438", 5.716)</f>
        <v>5.7160000000000002</v>
      </c>
      <c r="BH892" s="27">
        <f>HYPERLINK("[N&amp;P with New retention and Differentiation.xlsx]'Lake P Results'!R438", 5.686)</f>
        <v>5.6859999999999999</v>
      </c>
      <c r="BI892" s="47">
        <f>BG892-BF892</f>
        <v>-0.76999999999999957</v>
      </c>
      <c r="BJ892" s="47">
        <f>BH892-BF892</f>
        <v>-0.79999999999999982</v>
      </c>
      <c r="BK892" s="27">
        <f>HYPERLINK("[N&amp;P Old retention.xlsx]'Lake P Results'!Q438", 18.82)</f>
        <v>18.82</v>
      </c>
      <c r="BL892" s="27">
        <f>HYPERLINK("[N&amp;P New retention.xlsx]'Lake P Results'!Q438", 18.74)</f>
        <v>18.739999999999998</v>
      </c>
      <c r="BM892" s="27">
        <f>HYPERLINK("[N&amp;P with New retention and Differentiation.xlsx]'Lake P Results'!Q438", 19.67)</f>
        <v>19.670000000000002</v>
      </c>
      <c r="BN892" s="47">
        <f>BL892-BK892</f>
        <v>-8.0000000000001847E-2</v>
      </c>
      <c r="BO892" s="46">
        <f>BM892-BK892</f>
        <v>0.85000000000000142</v>
      </c>
    </row>
    <row r="893" spans="1:67" x14ac:dyDescent="0.55000000000000004">
      <c r="A893" s="31">
        <v>11006</v>
      </c>
      <c r="B893" s="5" t="s">
        <v>740</v>
      </c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</row>
    <row r="894" spans="1:67" x14ac:dyDescent="0.55000000000000004">
      <c r="A894" s="30">
        <v>11104</v>
      </c>
      <c r="B894" s="6" t="s">
        <v>741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27">
        <f>HYPERLINK("[N&amp;P Old retention.xlsx]'Lake P Results'!M440", 5.68)</f>
        <v>5.68</v>
      </c>
      <c r="AW894" s="18"/>
      <c r="AX894" s="18"/>
      <c r="AY894" s="47">
        <f>AW894-AV894</f>
        <v>-5.68</v>
      </c>
      <c r="AZ894" s="47">
        <f>AX894-AV894</f>
        <v>-5.68</v>
      </c>
      <c r="BA894" s="18"/>
      <c r="BB894" s="18"/>
      <c r="BC894" s="18"/>
      <c r="BD894" s="18"/>
      <c r="BE894" s="18"/>
      <c r="BF894" s="27">
        <f>HYPERLINK("[N&amp;P Old retention.xlsx]'Lake P Results'!R440", 7.29)</f>
        <v>7.29</v>
      </c>
      <c r="BG894" s="27">
        <f>HYPERLINK("[N&amp;P New retention.xlsx]'Lake P Results'!R440", 7.33)</f>
        <v>7.33</v>
      </c>
      <c r="BH894" s="27">
        <f>HYPERLINK("[N&amp;P with New retention and Differentiation.xlsx]'Lake P Results'!R440", 7.33)</f>
        <v>7.33</v>
      </c>
      <c r="BI894" s="46">
        <f>BG894-BF894</f>
        <v>4.0000000000000036E-2</v>
      </c>
      <c r="BJ894" s="46">
        <f>BH894-BF894</f>
        <v>4.0000000000000036E-2</v>
      </c>
      <c r="BK894" s="27">
        <f>HYPERLINK("[N&amp;P Old retention.xlsx]'Lake P Results'!Q440", 0.61)</f>
        <v>0.61</v>
      </c>
      <c r="BL894" s="27">
        <f>HYPERLINK("[N&amp;P New retention.xlsx]'Lake P Results'!Q440", 0.61)</f>
        <v>0.61</v>
      </c>
      <c r="BM894" s="27">
        <f>HYPERLINK("[N&amp;P with New retention and Differentiation.xlsx]'Lake P Results'!Q440", 0.61)</f>
        <v>0.61</v>
      </c>
      <c r="BN894" s="18"/>
      <c r="BO894" s="18"/>
    </row>
    <row r="895" spans="1:67" x14ac:dyDescent="0.55000000000000004">
      <c r="A895" s="31">
        <v>11105</v>
      </c>
      <c r="B895" s="5" t="s">
        <v>742</v>
      </c>
      <c r="C895" s="13"/>
      <c r="D895" s="13"/>
      <c r="E895" s="13"/>
      <c r="F895" s="13"/>
      <c r="G895" s="13"/>
      <c r="H895" s="28">
        <f>HYPERLINK("[N&amp;P Old retention.xlsx]'Lake P Results'!AM441", 1000)</f>
        <v>1000</v>
      </c>
      <c r="I895" s="28">
        <f>HYPERLINK("[N&amp;P New retention.xlsx]'Lake P Results'!AM441", 1000)</f>
        <v>1000</v>
      </c>
      <c r="J895" s="28">
        <f>HYPERLINK("[N&amp;P with New retention and Differentiation.xlsx]'Lake P Results'!AM441", 1000)</f>
        <v>1000</v>
      </c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28">
        <f>HYPERLINK("[N&amp;P Old retention.xlsx]'Lake P Results'!AH441", 50)</f>
        <v>50</v>
      </c>
      <c r="AR895" s="28">
        <f>HYPERLINK("[N&amp;P New retention.xlsx]'Lake P Results'!AH441", 50)</f>
        <v>50</v>
      </c>
      <c r="AS895" s="28">
        <f>HYPERLINK("[N&amp;P with New retention and Differentiation.xlsx]'Lake P Results'!AH441", 50)</f>
        <v>50</v>
      </c>
      <c r="AT895" s="13"/>
      <c r="AU895" s="13"/>
      <c r="AV895" s="29">
        <f>HYPERLINK("[N&amp;P Old retention.xlsx]'Lake P Results'!M441", 37.16)</f>
        <v>37.159999999999997</v>
      </c>
      <c r="AW895" s="29">
        <f>HYPERLINK("[N&amp;P New retention.xlsx]'Lake P Results'!M441", 37.16)</f>
        <v>37.159999999999997</v>
      </c>
      <c r="AX895" s="29">
        <f>HYPERLINK("[N&amp;P with New retention and Differentiation.xlsx]'Lake P Results'!M441", 37.16)</f>
        <v>37.159999999999997</v>
      </c>
      <c r="AY895" s="13"/>
      <c r="AZ895" s="13"/>
      <c r="BA895" s="29">
        <f>HYPERLINK("[N&amp;P Old retention.xlsx]'Lake P Results'!O441", 1.62)</f>
        <v>1.62</v>
      </c>
      <c r="BB895" s="29">
        <f>HYPERLINK("[N&amp;P New retention.xlsx]'Lake P Results'!O441", 1.62)</f>
        <v>1.62</v>
      </c>
      <c r="BC895" s="29">
        <f>HYPERLINK("[N&amp;P with New retention and Differentiation.xlsx]'Lake P Results'!O441", 1.62)</f>
        <v>1.62</v>
      </c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</row>
    <row r="896" spans="1:67" x14ac:dyDescent="0.55000000000000004">
      <c r="A896" s="30">
        <v>11204</v>
      </c>
      <c r="B896" s="6" t="s">
        <v>743</v>
      </c>
      <c r="C896" s="18"/>
      <c r="D896" s="18"/>
      <c r="E896" s="18"/>
      <c r="F896" s="18"/>
      <c r="G896" s="18"/>
      <c r="H896" s="26">
        <f>HYPERLINK("[N&amp;P Old retention.xlsx]'Lake P Results'!AM442", 100)</f>
        <v>100</v>
      </c>
      <c r="I896" s="26">
        <f>HYPERLINK("[N&amp;P New retention.xlsx]'Lake P Results'!AM442", 100)</f>
        <v>100</v>
      </c>
      <c r="J896" s="26">
        <f>HYPERLINK("[N&amp;P with New retention and Differentiation.xlsx]'Lake P Results'!AM442", 100)</f>
        <v>100</v>
      </c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27">
        <f>HYPERLINK("[N&amp;P Old retention.xlsx]'Lake P Results'!M442", 1.83)</f>
        <v>1.83</v>
      </c>
      <c r="AW896" s="18"/>
      <c r="AX896" s="18"/>
      <c r="AY896" s="47">
        <f>AW896-AV896</f>
        <v>-1.83</v>
      </c>
      <c r="AZ896" s="47">
        <f>AX896-AV896</f>
        <v>-1.83</v>
      </c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</row>
    <row r="897" spans="1:67" x14ac:dyDescent="0.55000000000000004">
      <c r="A897" s="31">
        <v>11206</v>
      </c>
      <c r="B897" s="5" t="s">
        <v>744</v>
      </c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28">
        <f>HYPERLINK("[N&amp;P Old retention.xlsx]'Lake P Results'!AH443", 1900)</f>
        <v>1900</v>
      </c>
      <c r="AR897" s="28">
        <f>HYPERLINK("[N&amp;P New retention.xlsx]'Lake P Results'!AH443", 1900)</f>
        <v>1900</v>
      </c>
      <c r="AS897" s="28">
        <f>HYPERLINK("[N&amp;P with New retention and Differentiation.xlsx]'Lake P Results'!AH443", 1900)</f>
        <v>1900</v>
      </c>
      <c r="AT897" s="13"/>
      <c r="AU897" s="13"/>
      <c r="AV897" s="29">
        <f>HYPERLINK("[N&amp;P Old retention.xlsx]'Lake P Results'!M443", 1028.212)</f>
        <v>1028.212</v>
      </c>
      <c r="AW897" s="29">
        <f>HYPERLINK("[N&amp;P New retention.xlsx]'Lake P Results'!M443", 1462.014)</f>
        <v>1462.0139999999999</v>
      </c>
      <c r="AX897" s="29">
        <f>HYPERLINK("[N&amp;P with New retention and Differentiation.xlsx]'Lake P Results'!M443", 1426.176)</f>
        <v>1426.1759999999999</v>
      </c>
      <c r="AY897" s="46">
        <f>AW897-AV897</f>
        <v>433.80199999999991</v>
      </c>
      <c r="AZ897" s="46">
        <f>AX897-AV897</f>
        <v>397.96399999999994</v>
      </c>
      <c r="BA897" s="29">
        <f>HYPERLINK("[N&amp;P Old retention.xlsx]'Lake P Results'!O443", 0.32)</f>
        <v>0.32</v>
      </c>
      <c r="BB897" s="29">
        <f>HYPERLINK("[N&amp;P New retention.xlsx]'Lake P Results'!O443", 14.25)</f>
        <v>14.25</v>
      </c>
      <c r="BC897" s="29">
        <f>HYPERLINK("[N&amp;P with New retention and Differentiation.xlsx]'Lake P Results'!O443", 31.098)</f>
        <v>31.097999999999999</v>
      </c>
      <c r="BD897" s="46">
        <f>BB897-BA897</f>
        <v>13.93</v>
      </c>
      <c r="BE897" s="46">
        <f>BC897-BA897</f>
        <v>30.777999999999999</v>
      </c>
      <c r="BF897" s="13"/>
      <c r="BG897" s="13"/>
      <c r="BH897" s="13"/>
      <c r="BI897" s="13"/>
      <c r="BJ897" s="13"/>
      <c r="BK897" s="29">
        <f>HYPERLINK("[N&amp;P Old retention.xlsx]'Lake P Results'!Q443", 13.66)</f>
        <v>13.66</v>
      </c>
      <c r="BL897" s="29">
        <f>HYPERLINK("[N&amp;P New retention.xlsx]'Lake P Results'!Q443", 7.08)</f>
        <v>7.08</v>
      </c>
      <c r="BM897" s="29">
        <f>HYPERLINK("[N&amp;P with New retention and Differentiation.xlsx]'Lake P Results'!Q443", 8.58)</f>
        <v>8.58</v>
      </c>
      <c r="BN897" s="47">
        <f>BL897-BK897</f>
        <v>-6.58</v>
      </c>
      <c r="BO897" s="47">
        <f>BM897-BK897</f>
        <v>-5.08</v>
      </c>
    </row>
    <row r="898" spans="1:67" x14ac:dyDescent="0.55000000000000004">
      <c r="A898" s="30">
        <v>11505</v>
      </c>
      <c r="B898" s="6" t="s">
        <v>745</v>
      </c>
      <c r="C898" s="27">
        <f>HYPERLINK("[N&amp;P Old retention.xlsx]'Lake P Results'!AE444", 1.22)</f>
        <v>1.22</v>
      </c>
      <c r="D898" s="27">
        <f>HYPERLINK("[N&amp;P New retention.xlsx]'Lake P Results'!AE444", 1.27)</f>
        <v>1.27</v>
      </c>
      <c r="E898" s="27">
        <f>HYPERLINK("[N&amp;P with New retention and Differentiation.xlsx]'Lake P Results'!AE444", 1.22)</f>
        <v>1.22</v>
      </c>
      <c r="F898" s="46">
        <f>D898-C898</f>
        <v>5.0000000000000044E-2</v>
      </c>
      <c r="G898" s="18"/>
      <c r="H898" s="26">
        <f>HYPERLINK("[N&amp;P Old retention.xlsx]'Lake P Results'!AM444", 1200)</f>
        <v>1200</v>
      </c>
      <c r="I898" s="26">
        <f>HYPERLINK("[N&amp;P New retention.xlsx]'Lake P Results'!AM444", 1100)</f>
        <v>1100</v>
      </c>
      <c r="J898" s="26">
        <f>HYPERLINK("[N&amp;P with New retention and Differentiation.xlsx]'Lake P Results'!AM444", 1100)</f>
        <v>1100</v>
      </c>
      <c r="K898" s="21">
        <f>I898-H898</f>
        <v>-100</v>
      </c>
      <c r="L898" s="21">
        <f>J898-H898</f>
        <v>-100</v>
      </c>
      <c r="M898" s="18"/>
      <c r="N898" s="18"/>
      <c r="O898" s="18"/>
      <c r="P898" s="18"/>
      <c r="Q898" s="18"/>
      <c r="R898" s="18"/>
      <c r="S898" s="18"/>
      <c r="T898" s="27">
        <f>HYPERLINK("[N&amp;P with New retention and Differentiation.xlsx]'Lake P Results'!Y444", 2.11)</f>
        <v>2.11</v>
      </c>
      <c r="U898" s="18"/>
      <c r="V898" s="46">
        <f>T898-R898</f>
        <v>2.11</v>
      </c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27">
        <f>HYPERLINK("[N&amp;P Old retention.xlsx]'Lake P Results'!AA444", 0.29)</f>
        <v>0.28999999999999998</v>
      </c>
      <c r="AH898" s="18"/>
      <c r="AI898" s="18"/>
      <c r="AJ898" s="47">
        <f>AH898-AG898</f>
        <v>-0.28999999999999998</v>
      </c>
      <c r="AK898" s="47">
        <f>AI898-AG898</f>
        <v>-0.28999999999999998</v>
      </c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</row>
    <row r="899" spans="1:67" x14ac:dyDescent="0.55000000000000004">
      <c r="A899" s="31">
        <v>11506</v>
      </c>
      <c r="B899" s="5" t="s">
        <v>746</v>
      </c>
      <c r="C899" s="29">
        <f>HYPERLINK("[N&amp;P Old retention.xlsx]'Lake P Results'!AE445", 0.96)</f>
        <v>0.96</v>
      </c>
      <c r="D899" s="29">
        <f>HYPERLINK("[N&amp;P New retention.xlsx]'Lake P Results'!AE445", 0.96)</f>
        <v>0.96</v>
      </c>
      <c r="E899" s="29">
        <f>HYPERLINK("[N&amp;P with New retention and Differentiation.xlsx]'Lake P Results'!AE445", 0.96)</f>
        <v>0.96</v>
      </c>
      <c r="F899" s="13"/>
      <c r="G899" s="13"/>
      <c r="H899" s="28">
        <f>HYPERLINK("[N&amp;P Old retention.xlsx]'Lake P Results'!AM445", 4800)</f>
        <v>4800</v>
      </c>
      <c r="I899" s="28">
        <f>HYPERLINK("[N&amp;P New retention.xlsx]'Lake P Results'!AM445", 4600)</f>
        <v>4600</v>
      </c>
      <c r="J899" s="28">
        <f>HYPERLINK("[N&amp;P with New retention and Differentiation.xlsx]'Lake P Results'!AM445", 4700)</f>
        <v>4700</v>
      </c>
      <c r="K899" s="21">
        <f>I899-H899</f>
        <v>-200</v>
      </c>
      <c r="L899" s="21">
        <f>J899-H899</f>
        <v>-100</v>
      </c>
      <c r="M899" s="29">
        <f>HYPERLINK("[N&amp;P Old retention.xlsx]'Lake P Results'!AC445", 180.64)</f>
        <v>180.64</v>
      </c>
      <c r="N899" s="29">
        <f>HYPERLINK("[N&amp;P New retention.xlsx]'Lake P Results'!AC445", 385.07)</f>
        <v>385.07</v>
      </c>
      <c r="O899" s="29">
        <f>HYPERLINK("[N&amp;P with New retention and Differentiation.xlsx]'Lake P Results'!AC445", 387.086)</f>
        <v>387.08600000000001</v>
      </c>
      <c r="P899" s="46">
        <f>N899-M899</f>
        <v>204.43</v>
      </c>
      <c r="Q899" s="46">
        <f>O899-M899</f>
        <v>206.44600000000003</v>
      </c>
      <c r="R899" s="29">
        <f>HYPERLINK("[N&amp;P Old retention.xlsx]'Lake P Results'!Y445", 80.494)</f>
        <v>80.494</v>
      </c>
      <c r="S899" s="29">
        <f>HYPERLINK("[N&amp;P New retention.xlsx]'Lake P Results'!Y445", 240.004)</f>
        <v>240.00399999999999</v>
      </c>
      <c r="T899" s="29">
        <f>HYPERLINK("[N&amp;P with New retention and Differentiation.xlsx]'Lake P Results'!Y445", 246.732)</f>
        <v>246.732</v>
      </c>
      <c r="U899" s="46">
        <f>S899-R899</f>
        <v>159.51</v>
      </c>
      <c r="V899" s="46">
        <f>T899-R899</f>
        <v>166.238</v>
      </c>
      <c r="W899" s="13"/>
      <c r="X899" s="29">
        <f>HYPERLINK("[N&amp;P New retention.xlsx]'Lake P Results'!V445", 16.76)</f>
        <v>16.760000000000002</v>
      </c>
      <c r="Y899" s="29">
        <f>HYPERLINK("[N&amp;P with New retention and Differentiation.xlsx]'Lake P Results'!V445", 16.76)</f>
        <v>16.760000000000002</v>
      </c>
      <c r="Z899" s="46">
        <f>X899-W899</f>
        <v>16.760000000000002</v>
      </c>
      <c r="AA899" s="46">
        <f>Y899-W899</f>
        <v>16.760000000000002</v>
      </c>
      <c r="AB899" s="29">
        <f>HYPERLINK("[N&amp;P Old retention.xlsx]'Lake P Results'!Z445", 29.326)</f>
        <v>29.326000000000001</v>
      </c>
      <c r="AC899" s="29">
        <f>HYPERLINK("[N&amp;P New retention.xlsx]'Lake P Results'!Z445", 51.866)</f>
        <v>51.866</v>
      </c>
      <c r="AD899" s="29">
        <f>HYPERLINK("[N&amp;P with New retention and Differentiation.xlsx]'Lake P Results'!Z445", 41.23)</f>
        <v>41.23</v>
      </c>
      <c r="AE899" s="46">
        <f>AC899-AB899</f>
        <v>22.54</v>
      </c>
      <c r="AF899" s="46">
        <f>AD899-AB899</f>
        <v>11.903999999999996</v>
      </c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28">
        <f>HYPERLINK("[N&amp;P Old retention.xlsx]'Lake P Results'!AH445", 590)</f>
        <v>590</v>
      </c>
      <c r="AR899" s="28">
        <f>HYPERLINK("[N&amp;P New retention.xlsx]'Lake P Results'!AH445", 590)</f>
        <v>590</v>
      </c>
      <c r="AS899" s="28">
        <f>HYPERLINK("[N&amp;P with New retention and Differentiation.xlsx]'Lake P Results'!AH445", 590)</f>
        <v>590</v>
      </c>
      <c r="AT899" s="13"/>
      <c r="AU899" s="13"/>
      <c r="AV899" s="29">
        <f>HYPERLINK("[N&amp;P Old retention.xlsx]'Lake P Results'!M445", 368.64)</f>
        <v>368.64</v>
      </c>
      <c r="AW899" s="29">
        <f>HYPERLINK("[N&amp;P New retention.xlsx]'Lake P Results'!M445", 87.16)</f>
        <v>87.16</v>
      </c>
      <c r="AX899" s="29">
        <f>HYPERLINK("[N&amp;P with New retention and Differentiation.xlsx]'Lake P Results'!M445", 87.16)</f>
        <v>87.16</v>
      </c>
      <c r="AY899" s="47">
        <f>AW899-AV899</f>
        <v>-281.48</v>
      </c>
      <c r="AZ899" s="47">
        <f>AX899-AV899</f>
        <v>-281.48</v>
      </c>
      <c r="BA899" s="13"/>
      <c r="BB899" s="13"/>
      <c r="BC899" s="29">
        <f>HYPERLINK("[N&amp;P with New retention and Differentiation.xlsx]'Lake P Results'!O445", 1.82)</f>
        <v>1.82</v>
      </c>
      <c r="BD899" s="13"/>
      <c r="BE899" s="46">
        <f>BC899-BA899</f>
        <v>1.82</v>
      </c>
      <c r="BF899" s="29">
        <f>HYPERLINK("[N&amp;P Old retention.xlsx]'Lake P Results'!R445", 0.0999999999999999)</f>
        <v>9.9999999999999895E-2</v>
      </c>
      <c r="BG899" s="29">
        <f>HYPERLINK("[N&amp;P New retention.xlsx]'Lake P Results'!R445", 0.0999999999999999)</f>
        <v>9.9999999999999895E-2</v>
      </c>
      <c r="BH899" s="29">
        <f>HYPERLINK("[N&amp;P with New retention and Differentiation.xlsx]'Lake P Results'!R445", 0.0999999999999999)</f>
        <v>9.9999999999999895E-2</v>
      </c>
      <c r="BI899" s="13"/>
      <c r="BJ899" s="13"/>
      <c r="BK899" s="13"/>
      <c r="BL899" s="13"/>
      <c r="BM899" s="13"/>
      <c r="BN899" s="13"/>
      <c r="BO899" s="13"/>
    </row>
    <row r="900" spans="1:67" x14ac:dyDescent="0.55000000000000004">
      <c r="A900" s="30">
        <v>36617</v>
      </c>
      <c r="B900" s="6" t="s">
        <v>747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</row>
    <row r="901" spans="1:67" x14ac:dyDescent="0.55000000000000004">
      <c r="A901" s="31">
        <v>36699</v>
      </c>
      <c r="B901" s="5" t="s">
        <v>748</v>
      </c>
      <c r="C901" s="13"/>
      <c r="D901" s="13"/>
      <c r="E901" s="13"/>
      <c r="F901" s="13"/>
      <c r="G901" s="13"/>
      <c r="H901" s="28">
        <f>HYPERLINK("[N&amp;P Old retention.xlsx]'Lake P Results'!AM447", 400)</f>
        <v>400</v>
      </c>
      <c r="I901" s="28">
        <f>HYPERLINK("[N&amp;P New retention.xlsx]'Lake P Results'!AM447", 400)</f>
        <v>400</v>
      </c>
      <c r="J901" s="28">
        <f>HYPERLINK("[N&amp;P with New retention and Differentiation.xlsx]'Lake P Results'!AM447", 400)</f>
        <v>400</v>
      </c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</row>
    <row r="902" spans="1:67" x14ac:dyDescent="0.55000000000000004">
      <c r="A902" s="30">
        <v>36799</v>
      </c>
      <c r="B902" s="6" t="s">
        <v>749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27">
        <f>HYPERLINK("[N&amp;P Old retention.xlsx]'Lake P Results'!M448", 35.91)</f>
        <v>35.909999999999997</v>
      </c>
      <c r="AW902" s="27">
        <f>HYPERLINK("[N&amp;P New retention.xlsx]'Lake P Results'!M448", 41.4)</f>
        <v>41.4</v>
      </c>
      <c r="AX902" s="27">
        <f>HYPERLINK("[N&amp;P with New retention and Differentiation.xlsx]'Lake P Results'!M448", 41.4)</f>
        <v>41.4</v>
      </c>
      <c r="AY902" s="46">
        <f>AW902-AV902</f>
        <v>5.490000000000002</v>
      </c>
      <c r="AZ902" s="46">
        <f>AX902-AV902</f>
        <v>5.490000000000002</v>
      </c>
      <c r="BA902" s="18"/>
      <c r="BB902" s="18"/>
      <c r="BC902" s="18"/>
      <c r="BD902" s="18"/>
      <c r="BE902" s="18"/>
      <c r="BF902" s="27">
        <f>HYPERLINK("[N&amp;P Old retention.xlsx]'Lake P Results'!R448", 1.95)</f>
        <v>1.95</v>
      </c>
      <c r="BG902" s="18"/>
      <c r="BH902" s="18"/>
      <c r="BI902" s="47">
        <f>BG902-BF902</f>
        <v>-1.95</v>
      </c>
      <c r="BJ902" s="47">
        <f>BH902-BF902</f>
        <v>-1.95</v>
      </c>
      <c r="BK902" s="27">
        <f>HYPERLINK("[N&amp;P Old retention.xlsx]'Lake P Results'!Q448", 3.72)</f>
        <v>3.72</v>
      </c>
      <c r="BL902" s="27">
        <f>HYPERLINK("[N&amp;P New retention.xlsx]'Lake P Results'!Q448", 4.42)</f>
        <v>4.42</v>
      </c>
      <c r="BM902" s="27">
        <f>HYPERLINK("[N&amp;P with New retention and Differentiation.xlsx]'Lake P Results'!Q448", 4.42)</f>
        <v>4.42</v>
      </c>
      <c r="BN902" s="46">
        <f>BL902-BK902</f>
        <v>0.69999999999999973</v>
      </c>
      <c r="BO902" s="46">
        <f>BM902-BK902</f>
        <v>0.69999999999999973</v>
      </c>
    </row>
    <row r="903" spans="1:67" x14ac:dyDescent="0.55000000000000004">
      <c r="A903" s="23"/>
      <c r="B903" s="24" t="s">
        <v>132</v>
      </c>
      <c r="C903" s="34">
        <v>1067.1555646542599</v>
      </c>
      <c r="D903" s="34">
        <v>1069.7995646542599</v>
      </c>
      <c r="E903" s="34">
        <v>1068.1015646542601</v>
      </c>
      <c r="F903" s="48">
        <f>D903-C903</f>
        <v>2.6440000000000055</v>
      </c>
      <c r="G903" s="48">
        <f>E903-C903</f>
        <v>0.94600000000014006</v>
      </c>
      <c r="H903" s="25">
        <v>4082300</v>
      </c>
      <c r="I903" s="25">
        <v>4078300</v>
      </c>
      <c r="J903" s="25">
        <v>4049500</v>
      </c>
      <c r="K903" s="48">
        <f>I903-H903</f>
        <v>-4000</v>
      </c>
      <c r="L903" s="48">
        <f>J903-H903</f>
        <v>-32800</v>
      </c>
      <c r="M903" s="34">
        <v>18267.5859998661</v>
      </c>
      <c r="N903" s="34">
        <v>18354.862000000001</v>
      </c>
      <c r="O903" s="34">
        <v>18020.614000047899</v>
      </c>
      <c r="P903" s="48">
        <f>N903-M903</f>
        <v>87.276000133901107</v>
      </c>
      <c r="Q903" s="48">
        <f>O903-M903</f>
        <v>-246.97199981820086</v>
      </c>
      <c r="R903" s="34">
        <v>8167.3540000000003</v>
      </c>
      <c r="S903" s="34">
        <v>8404.5519999999997</v>
      </c>
      <c r="T903" s="34">
        <v>8472.2559999999994</v>
      </c>
      <c r="U903" s="48">
        <f>S903-R903</f>
        <v>237.19799999999941</v>
      </c>
      <c r="V903" s="48">
        <f>T903-R903</f>
        <v>304.90199999999913</v>
      </c>
      <c r="W903" s="34">
        <v>7040.826</v>
      </c>
      <c r="X903" s="34">
        <v>6879.4099999673299</v>
      </c>
      <c r="Y903" s="34">
        <v>6869.33</v>
      </c>
      <c r="Z903" s="48">
        <f>X903-W903</f>
        <v>-161.41600003267013</v>
      </c>
      <c r="AA903" s="48">
        <f>Y903-W903</f>
        <v>-171.49600000000009</v>
      </c>
      <c r="AB903" s="34">
        <v>3886.1559999999999</v>
      </c>
      <c r="AC903" s="34">
        <v>3994</v>
      </c>
      <c r="AD903" s="34">
        <v>4240.6019999968603</v>
      </c>
      <c r="AE903" s="48">
        <f>AC903-AB903</f>
        <v>107.84400000000005</v>
      </c>
      <c r="AF903" s="48">
        <f>AD903-AB903</f>
        <v>354.44599999686034</v>
      </c>
      <c r="AG903" s="34">
        <v>2097.306</v>
      </c>
      <c r="AH903" s="34">
        <v>2149.8919999999998</v>
      </c>
      <c r="AI903" s="34">
        <v>2144.7819999345602</v>
      </c>
      <c r="AJ903" s="48">
        <f>AH903-AG903</f>
        <v>52.585999999999785</v>
      </c>
      <c r="AK903" s="48">
        <f>AI903-AG903</f>
        <v>47.47599993456015</v>
      </c>
      <c r="AL903" s="34">
        <v>14.71</v>
      </c>
      <c r="AM903" s="34">
        <v>14.416</v>
      </c>
      <c r="AN903" s="34">
        <v>14.43</v>
      </c>
      <c r="AO903" s="48">
        <f>AM903-AL903</f>
        <v>-0.29400000000000048</v>
      </c>
      <c r="AP903" s="48">
        <f>AN903-AL903</f>
        <v>-0.28000000000000114</v>
      </c>
      <c r="AQ903" s="25">
        <v>95199.999999929802</v>
      </c>
      <c r="AR903" s="25">
        <v>95439.999999906606</v>
      </c>
      <c r="AS903" s="25">
        <v>95289.999999916996</v>
      </c>
      <c r="AT903" s="48">
        <f>AR903-AQ903</f>
        <v>239.99999997680425</v>
      </c>
      <c r="AU903" s="48">
        <f>AS903-AQ903</f>
        <v>89.999999987194315</v>
      </c>
      <c r="AV903" s="34">
        <v>62090.063851252198</v>
      </c>
      <c r="AW903" s="34">
        <v>64196.153851252202</v>
      </c>
      <c r="AX903" s="34">
        <v>56359.1438512522</v>
      </c>
      <c r="AY903" s="48">
        <f>AW903-AV903</f>
        <v>2106.0900000000038</v>
      </c>
      <c r="AZ903" s="48">
        <f>AX903-AV903</f>
        <v>-5730.9199999999983</v>
      </c>
      <c r="BA903" s="34">
        <v>45408.541422137103</v>
      </c>
      <c r="BB903" s="34">
        <v>42003.391422137101</v>
      </c>
      <c r="BC903" s="34">
        <v>49878.627422137099</v>
      </c>
      <c r="BD903" s="48">
        <f>BB903-BA903</f>
        <v>-3405.1500000000015</v>
      </c>
      <c r="BE903" s="48">
        <f>BC903-BA903</f>
        <v>4470.0859999999957</v>
      </c>
      <c r="BF903" s="34">
        <v>3105.4841010944201</v>
      </c>
      <c r="BG903" s="34">
        <v>2192.72776470588</v>
      </c>
      <c r="BH903" s="34">
        <v>2249.1597647058802</v>
      </c>
      <c r="BI903" s="48">
        <f>BG903-BF903</f>
        <v>-912.75633638854015</v>
      </c>
      <c r="BJ903" s="48">
        <f>BH903-BF903</f>
        <v>-856.3243363885399</v>
      </c>
      <c r="BK903" s="34">
        <v>2480.4901058445798</v>
      </c>
      <c r="BL903" s="34">
        <v>2237.9661954541698</v>
      </c>
      <c r="BM903" s="34">
        <v>2294.5300814012198</v>
      </c>
      <c r="BN903" s="48">
        <f>BL903-BK903</f>
        <v>-242.52391039041004</v>
      </c>
      <c r="BO903" s="48">
        <f>BM903-BK903</f>
        <v>-185.96002444336</v>
      </c>
    </row>
    <row r="905" spans="1:67" ht="18" customHeight="1" x14ac:dyDescent="0.55000000000000004">
      <c r="A905" s="62" t="s">
        <v>300</v>
      </c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  <c r="BN905" s="62"/>
      <c r="BO905" s="62"/>
    </row>
    <row r="906" spans="1:67" x14ac:dyDescent="0.55000000000000004">
      <c r="A906" s="30">
        <v>26</v>
      </c>
      <c r="B906" s="6" t="s">
        <v>319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</row>
    <row r="907" spans="1:67" x14ac:dyDescent="0.55000000000000004">
      <c r="A907" s="31">
        <v>32</v>
      </c>
      <c r="B907" s="5" t="s">
        <v>320</v>
      </c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</row>
    <row r="908" spans="1:67" x14ac:dyDescent="0.55000000000000004">
      <c r="A908" s="30">
        <v>34</v>
      </c>
      <c r="B908" s="6" t="s">
        <v>321</v>
      </c>
      <c r="C908" s="18"/>
      <c r="D908" s="18"/>
      <c r="E908" s="18"/>
      <c r="F908" s="18"/>
      <c r="G908" s="18"/>
      <c r="H908" s="26">
        <f>HYPERLINK("[P Only Old retention.xlsx]'Lake P Results'!AM4", 700)</f>
        <v>700</v>
      </c>
      <c r="I908" s="26">
        <f>HYPERLINK("[P Only New retention.xlsx]'Lake P Results'!AM4", 700)</f>
        <v>700</v>
      </c>
      <c r="J908" s="26">
        <f>HYPERLINK("[P Only with New retention and Differentiation.xlsx]'Lake P Results'!AM4", 700)</f>
        <v>700</v>
      </c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</row>
    <row r="909" spans="1:67" x14ac:dyDescent="0.55000000000000004">
      <c r="A909" s="31">
        <v>36</v>
      </c>
      <c r="B909" s="5" t="s">
        <v>322</v>
      </c>
      <c r="C909" s="29">
        <f>HYPERLINK("[P Only Old retention.xlsx]'Lake P Results'!AE5", 14.892)</f>
        <v>14.891999999999999</v>
      </c>
      <c r="D909" s="29">
        <f>HYPERLINK("[P Only New retention.xlsx]'Lake P Results'!AE5", 14.872)</f>
        <v>14.872</v>
      </c>
      <c r="E909" s="29">
        <f>HYPERLINK("[P Only with New retention and Differentiation.xlsx]'Lake P Results'!AE5", 14.96)</f>
        <v>14.96</v>
      </c>
      <c r="F909" s="47">
        <f>D909-C909</f>
        <v>-1.9999999999999574E-2</v>
      </c>
      <c r="G909" s="46">
        <f>E909-C909</f>
        <v>6.8000000000001393E-2</v>
      </c>
      <c r="H909" s="28">
        <f>HYPERLINK("[P Only Old retention.xlsx]'Lake P Results'!AM5", 27700)</f>
        <v>27700</v>
      </c>
      <c r="I909" s="28">
        <f>HYPERLINK("[P Only New retention.xlsx]'Lake P Results'!AM5", 27800)</f>
        <v>27800</v>
      </c>
      <c r="J909" s="28">
        <f>HYPERLINK("[P Only with New retention and Differentiation.xlsx]'Lake P Results'!AM5", 27800)</f>
        <v>27800</v>
      </c>
      <c r="K909" s="16">
        <f>I909-H909</f>
        <v>100</v>
      </c>
      <c r="L909" s="16">
        <f>J909-H909</f>
        <v>100</v>
      </c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29">
        <f>HYPERLINK("[P Only Old retention.xlsx]'Lake P Results'!AA5", 3.432)</f>
        <v>3.4319999999999999</v>
      </c>
      <c r="AH909" s="29">
        <f>HYPERLINK("[P Only New retention.xlsx]'Lake P Results'!AA5", 3.432)</f>
        <v>3.4319999999999999</v>
      </c>
      <c r="AI909" s="29">
        <f>HYPERLINK("[P Only with New retention and Differentiation.xlsx]'Lake P Results'!AA5", 3.432)</f>
        <v>3.4319999999999999</v>
      </c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</row>
    <row r="910" spans="1:67" x14ac:dyDescent="0.55000000000000004">
      <c r="A910" s="30">
        <v>37</v>
      </c>
      <c r="B910" s="6" t="s">
        <v>323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27">
        <f>HYPERLINK("[P Only Old retention.xlsx]'Lake P Results'!O6", 11.736)</f>
        <v>11.736000000000001</v>
      </c>
      <c r="BB910" s="27">
        <f>HYPERLINK("[P Only New retention.xlsx]'Lake P Results'!O6", 11.736)</f>
        <v>11.736000000000001</v>
      </c>
      <c r="BC910" s="27">
        <f>HYPERLINK("[P Only with New retention and Differentiation.xlsx]'Lake P Results'!O6", 11.736)</f>
        <v>11.736000000000001</v>
      </c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</row>
    <row r="911" spans="1:67" x14ac:dyDescent="0.55000000000000004">
      <c r="A911" s="31">
        <v>38</v>
      </c>
      <c r="B911" s="5" t="s">
        <v>324</v>
      </c>
      <c r="C911" s="29">
        <f>HYPERLINK("[P Only Old retention.xlsx]'Lake P Results'!AE7", 7.486)</f>
        <v>7.4859999999999998</v>
      </c>
      <c r="D911" s="29">
        <f>HYPERLINK("[P Only New retention.xlsx]'Lake P Results'!AE7", 7.54999999999999)</f>
        <v>7.5499999999999901</v>
      </c>
      <c r="E911" s="29">
        <f>HYPERLINK("[P Only with New retention and Differentiation.xlsx]'Lake P Results'!AE7", 7.446)</f>
        <v>7.4459999999999997</v>
      </c>
      <c r="F911" s="46">
        <f>D911-C911</f>
        <v>6.3999999999990287E-2</v>
      </c>
      <c r="G911" s="47">
        <f>E911-C911</f>
        <v>-4.0000000000000036E-2</v>
      </c>
      <c r="H911" s="28">
        <f>HYPERLINK("[P Only Old retention.xlsx]'Lake P Results'!AM7", 4900)</f>
        <v>4900</v>
      </c>
      <c r="I911" s="28">
        <f>HYPERLINK("[P Only New retention.xlsx]'Lake P Results'!AM7", 4900)</f>
        <v>4900</v>
      </c>
      <c r="J911" s="28">
        <f>HYPERLINK("[P Only with New retention and Differentiation.xlsx]'Lake P Results'!AM7", 4900)</f>
        <v>4900</v>
      </c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29">
        <f>HYPERLINK("[P Only Old retention.xlsx]'Lake P Results'!V7", 38.43)</f>
        <v>38.43</v>
      </c>
      <c r="X911" s="29">
        <f>HYPERLINK("[P Only New retention.xlsx]'Lake P Results'!V7", 38.43)</f>
        <v>38.43</v>
      </c>
      <c r="Y911" s="29">
        <f>HYPERLINK("[P Only with New retention and Differentiation.xlsx]'Lake P Results'!V7", 32.61)</f>
        <v>32.61</v>
      </c>
      <c r="Z911" s="13"/>
      <c r="AA911" s="47">
        <f>Y911-W911</f>
        <v>-5.82</v>
      </c>
      <c r="AB911" s="29">
        <f>HYPERLINK("[P Only Old retention.xlsx]'Lake P Results'!Z7", 36.584)</f>
        <v>36.584000000000003</v>
      </c>
      <c r="AC911" s="29">
        <f>HYPERLINK("[P Only New retention.xlsx]'Lake P Results'!Z7", 36.584)</f>
        <v>36.584000000000003</v>
      </c>
      <c r="AD911" s="29">
        <f>HYPERLINK("[P Only with New retention and Differentiation.xlsx]'Lake P Results'!Z7", 36.584)</f>
        <v>36.584000000000003</v>
      </c>
      <c r="AE911" s="13"/>
      <c r="AF911" s="13"/>
      <c r="AG911" s="29">
        <f>HYPERLINK("[P Only Old retention.xlsx]'Lake P Results'!AA7", 0.29)</f>
        <v>0.28999999999999998</v>
      </c>
      <c r="AH911" s="29">
        <f>HYPERLINK("[P Only New retention.xlsx]'Lake P Results'!AA7", 0.68)</f>
        <v>0.68</v>
      </c>
      <c r="AI911" s="29">
        <f>HYPERLINK("[P Only with New retention and Differentiation.xlsx]'Lake P Results'!AA7", 0.29)</f>
        <v>0.28999999999999998</v>
      </c>
      <c r="AJ911" s="46">
        <f>AH911-AG911</f>
        <v>0.39000000000000007</v>
      </c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29">
        <f>HYPERLINK("[P Only Old retention.xlsx]'Lake P Results'!O7", 68.08)</f>
        <v>68.08</v>
      </c>
      <c r="BB911" s="29">
        <f>HYPERLINK("[P Only New retention.xlsx]'Lake P Results'!O7", 62.83)</f>
        <v>62.83</v>
      </c>
      <c r="BC911" s="29">
        <f>HYPERLINK("[P Only with New retention and Differentiation.xlsx]'Lake P Results'!O7", 55.28)</f>
        <v>55.28</v>
      </c>
      <c r="BD911" s="47">
        <f>BB911-BA911</f>
        <v>-5.25</v>
      </c>
      <c r="BE911" s="47">
        <f>BC911-BA911</f>
        <v>-12.799999999999997</v>
      </c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</row>
    <row r="912" spans="1:67" x14ac:dyDescent="0.55000000000000004">
      <c r="A912" s="30">
        <v>43</v>
      </c>
      <c r="B912" s="6" t="s">
        <v>325</v>
      </c>
      <c r="C912" s="18"/>
      <c r="D912" s="18"/>
      <c r="E912" s="18"/>
      <c r="F912" s="18"/>
      <c r="G912" s="18"/>
      <c r="H912" s="26">
        <f>HYPERLINK("[P Only Old retention.xlsx]'Lake P Results'!AM8", 800)</f>
        <v>800</v>
      </c>
      <c r="I912" s="26">
        <f>HYPERLINK("[P Only New retention.xlsx]'Lake P Results'!AM8", 800)</f>
        <v>800</v>
      </c>
      <c r="J912" s="26">
        <f>HYPERLINK("[P Only with New retention and Differentiation.xlsx]'Lake P Results'!AM8", 800)</f>
        <v>800</v>
      </c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</row>
    <row r="913" spans="1:67" x14ac:dyDescent="0.55000000000000004">
      <c r="A913" s="31">
        <v>50</v>
      </c>
      <c r="B913" s="5" t="s">
        <v>326</v>
      </c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</row>
    <row r="914" spans="1:67" x14ac:dyDescent="0.55000000000000004">
      <c r="A914" s="30">
        <v>51</v>
      </c>
      <c r="B914" s="6" t="s">
        <v>327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</row>
    <row r="915" spans="1:67" x14ac:dyDescent="0.55000000000000004">
      <c r="A915" s="31">
        <v>52</v>
      </c>
      <c r="B915" s="5" t="s">
        <v>328</v>
      </c>
      <c r="C915" s="29">
        <f>HYPERLINK("[P Only Old retention.xlsx]'Lake P Results'!AE11", 7.768)</f>
        <v>7.7679999999999998</v>
      </c>
      <c r="D915" s="29">
        <f>HYPERLINK("[P Only New retention.xlsx]'Lake P Results'!AE11", 7.768)</f>
        <v>7.7679999999999998</v>
      </c>
      <c r="E915" s="29">
        <f>HYPERLINK("[P Only with New retention and Differentiation.xlsx]'Lake P Results'!AE11", 7.768)</f>
        <v>7.7679999999999998</v>
      </c>
      <c r="F915" s="13"/>
      <c r="G915" s="13"/>
      <c r="H915" s="28">
        <f>HYPERLINK("[P Only Old retention.xlsx]'Lake P Results'!AM11", 6800)</f>
        <v>6800</v>
      </c>
      <c r="I915" s="28">
        <f>HYPERLINK("[P Only New retention.xlsx]'Lake P Results'!AM11", 6800)</f>
        <v>6800</v>
      </c>
      <c r="J915" s="28">
        <f>HYPERLINK("[P Only with New retention and Differentiation.xlsx]'Lake P Results'!AM11", 6800)</f>
        <v>6800</v>
      </c>
      <c r="K915" s="13"/>
      <c r="L915" s="13"/>
      <c r="M915" s="29">
        <f>HYPERLINK("[P Only Old retention.xlsx]'Lake P Results'!AC11", 570.11)</f>
        <v>570.11</v>
      </c>
      <c r="N915" s="29">
        <f>HYPERLINK("[P Only New retention.xlsx]'Lake P Results'!AC11", 570.11)</f>
        <v>570.11</v>
      </c>
      <c r="O915" s="29">
        <f>HYPERLINK("[P Only with New retention and Differentiation.xlsx]'Lake P Results'!AC11", 582.85)</f>
        <v>582.85</v>
      </c>
      <c r="P915" s="13"/>
      <c r="Q915" s="46">
        <f>O915-M915</f>
        <v>12.740000000000009</v>
      </c>
      <c r="R915" s="29">
        <f>HYPERLINK("[P Only Old retention.xlsx]'Lake P Results'!Y11", 27.19)</f>
        <v>27.19</v>
      </c>
      <c r="S915" s="29">
        <f>HYPERLINK("[P Only New retention.xlsx]'Lake P Results'!Y11", 27.19)</f>
        <v>27.19</v>
      </c>
      <c r="T915" s="13"/>
      <c r="U915" s="13"/>
      <c r="V915" s="47">
        <f>T915-R915</f>
        <v>-27.19</v>
      </c>
      <c r="W915" s="13"/>
      <c r="X915" s="13"/>
      <c r="Y915" s="13"/>
      <c r="Z915" s="13"/>
      <c r="AA915" s="13"/>
      <c r="AB915" s="29">
        <f>HYPERLINK("[P Only Old retention.xlsx]'Lake P Results'!Z11", 4.52)</f>
        <v>4.5199999999999996</v>
      </c>
      <c r="AC915" s="29">
        <f>HYPERLINK("[P Only New retention.xlsx]'Lake P Results'!Z11", 4.52)</f>
        <v>4.5199999999999996</v>
      </c>
      <c r="AD915" s="29">
        <f>HYPERLINK("[P Only with New retention and Differentiation.xlsx]'Lake P Results'!Z11", 18.97)</f>
        <v>18.97</v>
      </c>
      <c r="AE915" s="13"/>
      <c r="AF915" s="46">
        <f>AD915-AB915</f>
        <v>14.45</v>
      </c>
      <c r="AG915" s="29">
        <f>HYPERLINK("[P Only Old retention.xlsx]'Lake P Results'!AA11", 50.314)</f>
        <v>50.314</v>
      </c>
      <c r="AH915" s="29">
        <f>HYPERLINK("[P Only New retention.xlsx]'Lake P Results'!AA11", 50.314)</f>
        <v>50.314</v>
      </c>
      <c r="AI915" s="29">
        <f>HYPERLINK("[P Only with New retention and Differentiation.xlsx]'Lake P Results'!AA11", 50.314)</f>
        <v>50.314</v>
      </c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</row>
    <row r="916" spans="1:67" x14ac:dyDescent="0.55000000000000004">
      <c r="A916" s="30">
        <v>53</v>
      </c>
      <c r="B916" s="6" t="s">
        <v>329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</row>
    <row r="917" spans="1:67" x14ac:dyDescent="0.55000000000000004">
      <c r="A917" s="31">
        <v>58</v>
      </c>
      <c r="B917" s="5" t="s">
        <v>330</v>
      </c>
      <c r="C917" s="13"/>
      <c r="D917" s="13"/>
      <c r="E917" s="13"/>
      <c r="F917" s="13"/>
      <c r="G917" s="13"/>
      <c r="H917" s="28">
        <f>HYPERLINK("[P Only Old retention.xlsx]'Lake P Results'!AM13", 700)</f>
        <v>700</v>
      </c>
      <c r="I917" s="28">
        <f>HYPERLINK("[P Only New retention.xlsx]'Lake P Results'!AM13", 700)</f>
        <v>700</v>
      </c>
      <c r="J917" s="28">
        <f>HYPERLINK("[P Only with New retention and Differentiation.xlsx]'Lake P Results'!AM13", 700)</f>
        <v>700</v>
      </c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29">
        <f>HYPERLINK("[P Only Old retention.xlsx]'Lake P Results'!O13", 13.57)</f>
        <v>13.57</v>
      </c>
      <c r="BB917" s="29">
        <f>HYPERLINK("[P Only New retention.xlsx]'Lake P Results'!O13", 13.57)</f>
        <v>13.57</v>
      </c>
      <c r="BC917" s="29">
        <f>HYPERLINK("[P Only with New retention and Differentiation.xlsx]'Lake P Results'!O13", 13.57)</f>
        <v>13.57</v>
      </c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</row>
    <row r="918" spans="1:67" x14ac:dyDescent="0.55000000000000004">
      <c r="A918" s="30">
        <v>59</v>
      </c>
      <c r="B918" s="6" t="s">
        <v>331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</row>
    <row r="919" spans="1:67" x14ac:dyDescent="0.55000000000000004">
      <c r="A919" s="31">
        <v>63</v>
      </c>
      <c r="B919" s="5" t="s">
        <v>332</v>
      </c>
      <c r="C919" s="13"/>
      <c r="D919" s="13"/>
      <c r="E919" s="13"/>
      <c r="F919" s="13"/>
      <c r="G919" s="13"/>
      <c r="H919" s="28">
        <f>HYPERLINK("[P Only Old retention.xlsx]'Lake P Results'!AM15", 2800)</f>
        <v>2800</v>
      </c>
      <c r="I919" s="28">
        <f>HYPERLINK("[P Only New retention.xlsx]'Lake P Results'!AM15", 2800)</f>
        <v>2800</v>
      </c>
      <c r="J919" s="28">
        <f>HYPERLINK("[P Only with New retention and Differentiation.xlsx]'Lake P Results'!AM15", 2800)</f>
        <v>2800</v>
      </c>
      <c r="K919" s="13"/>
      <c r="L919" s="13"/>
      <c r="M919" s="29">
        <f>HYPERLINK("[P Only Old retention.xlsx]'Lake P Results'!AC15", 1.12)</f>
        <v>1.1200000000000001</v>
      </c>
      <c r="N919" s="29">
        <f>HYPERLINK("[P Only New retention.xlsx]'Lake P Results'!AC15", 1.12)</f>
        <v>1.1200000000000001</v>
      </c>
      <c r="O919" s="29">
        <f>HYPERLINK("[P Only with New retention and Differentiation.xlsx]'Lake P Results'!AC15", 1.12)</f>
        <v>1.1200000000000001</v>
      </c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</row>
    <row r="920" spans="1:67" x14ac:dyDescent="0.55000000000000004">
      <c r="A920" s="30">
        <v>65</v>
      </c>
      <c r="B920" s="6" t="s">
        <v>333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</row>
    <row r="921" spans="1:67" x14ac:dyDescent="0.55000000000000004">
      <c r="A921" s="31">
        <v>69</v>
      </c>
      <c r="B921" s="5" t="s">
        <v>334</v>
      </c>
      <c r="C921" s="13"/>
      <c r="D921" s="13"/>
      <c r="E921" s="13"/>
      <c r="F921" s="13"/>
      <c r="G921" s="13"/>
      <c r="H921" s="28">
        <f>HYPERLINK("[P Only Old retention.xlsx]'Lake P Results'!AM17", 12700)</f>
        <v>12700</v>
      </c>
      <c r="I921" s="28">
        <f>HYPERLINK("[P Only New retention.xlsx]'Lake P Results'!AM17", 12700)</f>
        <v>12700</v>
      </c>
      <c r="J921" s="28">
        <f>HYPERLINK("[P Only with New retention and Differentiation.xlsx]'Lake P Results'!AM17", 12700)</f>
        <v>12700</v>
      </c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</row>
    <row r="922" spans="1:67" x14ac:dyDescent="0.55000000000000004">
      <c r="A922" s="30">
        <v>85</v>
      </c>
      <c r="B922" s="6" t="s">
        <v>335</v>
      </c>
      <c r="C922" s="27">
        <f>HYPERLINK("[P Only Old retention.xlsx]'Lake P Results'!AE18", 4.69)</f>
        <v>4.6900000000000004</v>
      </c>
      <c r="D922" s="27">
        <f>HYPERLINK("[P Only New retention.xlsx]'Lake P Results'!AE18", 4.69)</f>
        <v>4.6900000000000004</v>
      </c>
      <c r="E922" s="27">
        <f>HYPERLINK("[P Only with New retention and Differentiation.xlsx]'Lake P Results'!AE18", 4.69)</f>
        <v>4.6900000000000004</v>
      </c>
      <c r="F922" s="18"/>
      <c r="G922" s="18"/>
      <c r="H922" s="26">
        <f>HYPERLINK("[P Only Old retention.xlsx]'Lake P Results'!AM18", 26300)</f>
        <v>26300</v>
      </c>
      <c r="I922" s="26">
        <f>HYPERLINK("[P Only New retention.xlsx]'Lake P Results'!AM18", 26300)</f>
        <v>26300</v>
      </c>
      <c r="J922" s="26">
        <f>HYPERLINK("[P Only with New retention and Differentiation.xlsx]'Lake P Results'!AM18", 26300)</f>
        <v>26300</v>
      </c>
      <c r="K922" s="18"/>
      <c r="L922" s="18"/>
      <c r="M922" s="27">
        <f>HYPERLINK("[P Only Old retention.xlsx]'Lake P Results'!AC18", 9.45)</f>
        <v>9.4499999999999993</v>
      </c>
      <c r="N922" s="27">
        <f>HYPERLINK("[P Only New retention.xlsx]'Lake P Results'!AC18", 9.45)</f>
        <v>9.4499999999999993</v>
      </c>
      <c r="O922" s="27">
        <f>HYPERLINK("[P Only with New retention and Differentiation.xlsx]'Lake P Results'!AC18", 7.53)</f>
        <v>7.53</v>
      </c>
      <c r="P922" s="18"/>
      <c r="Q922" s="47">
        <f>O922-M922</f>
        <v>-1.919999999999999</v>
      </c>
      <c r="R922" s="18"/>
      <c r="S922" s="18"/>
      <c r="T922" s="27">
        <f>HYPERLINK("[P Only with New retention and Differentiation.xlsx]'Lake P Results'!Y18", 3.55)</f>
        <v>3.55</v>
      </c>
      <c r="U922" s="18"/>
      <c r="V922" s="46">
        <f>T922-R922</f>
        <v>3.55</v>
      </c>
      <c r="W922" s="27">
        <f>HYPERLINK("[P Only Old retention.xlsx]'Lake P Results'!V18", 95.15)</f>
        <v>95.15</v>
      </c>
      <c r="X922" s="27">
        <f>HYPERLINK("[P Only New retention.xlsx]'Lake P Results'!V18", 95.15)</f>
        <v>95.15</v>
      </c>
      <c r="Y922" s="27">
        <f>HYPERLINK("[P Only with New retention and Differentiation.xlsx]'Lake P Results'!V18", 95.15)</f>
        <v>95.15</v>
      </c>
      <c r="Z922" s="18"/>
      <c r="AA922" s="18"/>
      <c r="AB922" s="27">
        <f>HYPERLINK("[P Only Old retention.xlsx]'Lake P Results'!Z18", 1.63)</f>
        <v>1.63</v>
      </c>
      <c r="AC922" s="27">
        <f>HYPERLINK("[P Only New retention.xlsx]'Lake P Results'!Z18", 1.63)</f>
        <v>1.63</v>
      </c>
      <c r="AD922" s="18"/>
      <c r="AE922" s="18"/>
      <c r="AF922" s="47">
        <f>AD922-AB922</f>
        <v>-1.63</v>
      </c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26">
        <f>HYPERLINK("[P Only Old retention.xlsx]'Lake P Results'!AH18", 1100)</f>
        <v>1100</v>
      </c>
      <c r="AR922" s="26">
        <f>HYPERLINK("[P Only New retention.xlsx]'Lake P Results'!AH18", 1100)</f>
        <v>1100</v>
      </c>
      <c r="AS922" s="26">
        <f>HYPERLINK("[P Only with New retention and Differentiation.xlsx]'Lake P Results'!AH18", 1100)</f>
        <v>1100</v>
      </c>
      <c r="AT922" s="18"/>
      <c r="AU922" s="18"/>
      <c r="AV922" s="27">
        <f>HYPERLINK("[P Only Old retention.xlsx]'Lake P Results'!M18", 27.24)</f>
        <v>27.24</v>
      </c>
      <c r="AW922" s="27">
        <f>HYPERLINK("[P Only New retention.xlsx]'Lake P Results'!M18", 27.24)</f>
        <v>27.24</v>
      </c>
      <c r="AX922" s="27">
        <f>HYPERLINK("[P Only with New retention and Differentiation.xlsx]'Lake P Results'!M18", 27.24)</f>
        <v>27.24</v>
      </c>
      <c r="AY922" s="18"/>
      <c r="AZ922" s="18"/>
      <c r="BA922" s="27">
        <f>HYPERLINK("[P Only Old retention.xlsx]'Lake P Results'!O18", 1395.74452282769)</f>
        <v>1395.7445228276899</v>
      </c>
      <c r="BB922" s="27">
        <f>HYPERLINK("[P Only New retention.xlsx]'Lake P Results'!O18", 1395.74452282769)</f>
        <v>1395.7445228276899</v>
      </c>
      <c r="BC922" s="27">
        <f>HYPERLINK("[P Only with New retention and Differentiation.xlsx]'Lake P Results'!O18", 1395.74452282769)</f>
        <v>1395.7445228276899</v>
      </c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</row>
    <row r="923" spans="1:67" x14ac:dyDescent="0.55000000000000004">
      <c r="A923" s="31">
        <v>89</v>
      </c>
      <c r="B923" s="5" t="s">
        <v>336</v>
      </c>
      <c r="C923" s="29">
        <f>HYPERLINK("[P Only Old retention.xlsx]'Lake P Results'!AE19", 67.566)</f>
        <v>67.566000000000003</v>
      </c>
      <c r="D923" s="29">
        <f>HYPERLINK("[P Only New retention.xlsx]'Lake P Results'!AE19", 67.566)</f>
        <v>67.566000000000003</v>
      </c>
      <c r="E923" s="29">
        <f>HYPERLINK("[P Only with New retention and Differentiation.xlsx]'Lake P Results'!AE19", 67.566)</f>
        <v>67.566000000000003</v>
      </c>
      <c r="F923" s="13"/>
      <c r="G923" s="13"/>
      <c r="H923" s="28">
        <f>HYPERLINK("[P Only Old retention.xlsx]'Lake P Results'!AM19", 121900)</f>
        <v>121900</v>
      </c>
      <c r="I923" s="28">
        <f>HYPERLINK("[P Only New retention.xlsx]'Lake P Results'!AM19", 121900)</f>
        <v>121900</v>
      </c>
      <c r="J923" s="28">
        <f>HYPERLINK("[P Only with New retention and Differentiation.xlsx]'Lake P Results'!AM19", 121900)</f>
        <v>121900</v>
      </c>
      <c r="K923" s="13"/>
      <c r="L923" s="13"/>
      <c r="M923" s="29">
        <f>HYPERLINK("[P Only Old retention.xlsx]'Lake P Results'!AC19", 80.508)</f>
        <v>80.507999999999996</v>
      </c>
      <c r="N923" s="29">
        <f>HYPERLINK("[P Only New retention.xlsx]'Lake P Results'!AC19", 78.628)</f>
        <v>78.628</v>
      </c>
      <c r="O923" s="29">
        <f>HYPERLINK("[P Only with New retention and Differentiation.xlsx]'Lake P Results'!AC19", 80.418)</f>
        <v>80.418000000000006</v>
      </c>
      <c r="P923" s="47">
        <f>N923-M923</f>
        <v>-1.8799999999999955</v>
      </c>
      <c r="Q923" s="47">
        <f>O923-M923</f>
        <v>-8.99999999999892E-2</v>
      </c>
      <c r="R923" s="29">
        <f>HYPERLINK("[P Only Old retention.xlsx]'Lake P Results'!Y19", 593.332)</f>
        <v>593.33199999999999</v>
      </c>
      <c r="S923" s="29">
        <f>HYPERLINK("[P Only New retention.xlsx]'Lake P Results'!Y19", 597.002)</f>
        <v>597.00199999999995</v>
      </c>
      <c r="T923" s="29">
        <f>HYPERLINK("[P Only with New retention and Differentiation.xlsx]'Lake P Results'!Y19", 592.742)</f>
        <v>592.74199999999996</v>
      </c>
      <c r="U923" s="46">
        <f>S923-R923</f>
        <v>3.6699999999999591</v>
      </c>
      <c r="V923" s="47">
        <f>T923-R923</f>
        <v>-0.59000000000003183</v>
      </c>
      <c r="W923" s="29">
        <f>HYPERLINK("[P Only Old retention.xlsx]'Lake P Results'!V19", 729.526)</f>
        <v>729.52599999999995</v>
      </c>
      <c r="X923" s="29">
        <f>HYPERLINK("[P Only New retention.xlsx]'Lake P Results'!V19", 729.526)</f>
        <v>729.52599999999995</v>
      </c>
      <c r="Y923" s="29">
        <f>HYPERLINK("[P Only with New retention and Differentiation.xlsx]'Lake P Results'!V19", 729.526)</f>
        <v>729.52599999999995</v>
      </c>
      <c r="Z923" s="13"/>
      <c r="AA923" s="13"/>
      <c r="AB923" s="29">
        <f>HYPERLINK("[P Only Old retention.xlsx]'Lake P Results'!Z19", 101.098)</f>
        <v>101.098</v>
      </c>
      <c r="AC923" s="29">
        <f>HYPERLINK("[P Only New retention.xlsx]'Lake P Results'!Z19", 99.308)</f>
        <v>99.308000000000007</v>
      </c>
      <c r="AD923" s="29">
        <f>HYPERLINK("[P Only with New retention and Differentiation.xlsx]'Lake P Results'!Z19", 101.778)</f>
        <v>101.77800000000001</v>
      </c>
      <c r="AE923" s="47">
        <f>AC923-AB923</f>
        <v>-1.789999999999992</v>
      </c>
      <c r="AF923" s="46">
        <f>AD923-AB923</f>
        <v>0.68000000000000682</v>
      </c>
      <c r="AG923" s="29">
        <f>HYPERLINK("[P Only Old retention.xlsx]'Lake P Results'!AA19", 107.36)</f>
        <v>107.36</v>
      </c>
      <c r="AH923" s="29">
        <f>HYPERLINK("[P Only New retention.xlsx]'Lake P Results'!AA19", 107.36)</f>
        <v>107.36</v>
      </c>
      <c r="AI923" s="29">
        <f>HYPERLINK("[P Only with New retention and Differentiation.xlsx]'Lake P Results'!AA19", 107.36)</f>
        <v>107.36</v>
      </c>
      <c r="AJ923" s="13"/>
      <c r="AK923" s="13"/>
      <c r="AL923" s="13"/>
      <c r="AM923" s="13"/>
      <c r="AN923" s="13"/>
      <c r="AO923" s="13"/>
      <c r="AP923" s="13"/>
      <c r="AQ923" s="28">
        <f>HYPERLINK("[P Only Old retention.xlsx]'Lake P Results'!AH19", 690)</f>
        <v>690</v>
      </c>
      <c r="AR923" s="28">
        <f>HYPERLINK("[P Only New retention.xlsx]'Lake P Results'!AH19", 690)</f>
        <v>690</v>
      </c>
      <c r="AS923" s="28">
        <f>HYPERLINK("[P Only with New retention and Differentiation.xlsx]'Lake P Results'!AH19", 690)</f>
        <v>690</v>
      </c>
      <c r="AT923" s="13"/>
      <c r="AU923" s="13"/>
      <c r="AV923" s="13"/>
      <c r="AW923" s="13"/>
      <c r="AX923" s="13"/>
      <c r="AY923" s="13"/>
      <c r="AZ923" s="13"/>
      <c r="BA923" s="29">
        <f>HYPERLINK("[P Only Old retention.xlsx]'Lake P Results'!O19", 1125.404)</f>
        <v>1125.404</v>
      </c>
      <c r="BB923" s="29">
        <f>HYPERLINK("[P Only New retention.xlsx]'Lake P Results'!O19", 1125.404)</f>
        <v>1125.404</v>
      </c>
      <c r="BC923" s="29">
        <f>HYPERLINK("[P Only with New retention and Differentiation.xlsx]'Lake P Results'!O19", 1125.404)</f>
        <v>1125.404</v>
      </c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</row>
    <row r="924" spans="1:67" x14ac:dyDescent="0.55000000000000004">
      <c r="A924" s="30">
        <v>91</v>
      </c>
      <c r="B924" s="6" t="s">
        <v>337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</row>
    <row r="925" spans="1:67" x14ac:dyDescent="0.55000000000000004">
      <c r="A925" s="31">
        <v>96</v>
      </c>
      <c r="B925" s="5" t="s">
        <v>338</v>
      </c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</row>
    <row r="926" spans="1:67" x14ac:dyDescent="0.55000000000000004">
      <c r="A926" s="30">
        <v>101</v>
      </c>
      <c r="B926" s="6" t="s">
        <v>339</v>
      </c>
      <c r="C926" s="18"/>
      <c r="D926" s="18"/>
      <c r="E926" s="18"/>
      <c r="F926" s="18"/>
      <c r="G926" s="18"/>
      <c r="H926" s="26">
        <f>HYPERLINK("[P Only Old retention.xlsx]'Lake P Results'!AM22", 20600)</f>
        <v>20600</v>
      </c>
      <c r="I926" s="26">
        <f>HYPERLINK("[P Only New retention.xlsx]'Lake P Results'!AM22", 20600)</f>
        <v>20600</v>
      </c>
      <c r="J926" s="26">
        <f>HYPERLINK("[P Only with New retention and Differentiation.xlsx]'Lake P Results'!AM22", 20600)</f>
        <v>20600</v>
      </c>
      <c r="K926" s="18"/>
      <c r="L926" s="18"/>
      <c r="M926" s="27">
        <f>HYPERLINK("[P Only Old retention.xlsx]'Lake P Results'!AC22", 34.98)</f>
        <v>34.979999999999997</v>
      </c>
      <c r="N926" s="27">
        <f>HYPERLINK("[P Only New retention.xlsx]'Lake P Results'!AC22", 11.35)</f>
        <v>11.35</v>
      </c>
      <c r="O926" s="27">
        <f>HYPERLINK("[P Only with New retention and Differentiation.xlsx]'Lake P Results'!AC22", 1.81)</f>
        <v>1.81</v>
      </c>
      <c r="P926" s="47">
        <f>N926-M926</f>
        <v>-23.629999999999995</v>
      </c>
      <c r="Q926" s="47">
        <f>O926-M926</f>
        <v>-33.169999999999995</v>
      </c>
      <c r="R926" s="27">
        <f>HYPERLINK("[P Only Old retention.xlsx]'Lake P Results'!Y22", 10.77)</f>
        <v>10.77</v>
      </c>
      <c r="S926" s="27">
        <f>HYPERLINK("[P Only New retention.xlsx]'Lake P Results'!Y22", 38.35)</f>
        <v>38.35</v>
      </c>
      <c r="T926" s="27">
        <f>HYPERLINK("[P Only with New retention and Differentiation.xlsx]'Lake P Results'!Y22", 31.17)</f>
        <v>31.17</v>
      </c>
      <c r="U926" s="46">
        <f>S926-R926</f>
        <v>27.580000000000002</v>
      </c>
      <c r="V926" s="46">
        <f>T926-R926</f>
        <v>20.400000000000002</v>
      </c>
      <c r="W926" s="27">
        <f>HYPERLINK("[P Only Old retention.xlsx]'Lake P Results'!V22", 11.94)</f>
        <v>11.94</v>
      </c>
      <c r="X926" s="27">
        <f>HYPERLINK("[P Only New retention.xlsx]'Lake P Results'!V22", 11.94)</f>
        <v>11.94</v>
      </c>
      <c r="Y926" s="27">
        <f>HYPERLINK("[P Only with New retention and Differentiation.xlsx]'Lake P Results'!V22", 11.94)</f>
        <v>11.94</v>
      </c>
      <c r="Z926" s="18"/>
      <c r="AA926" s="18"/>
      <c r="AB926" s="27">
        <f>HYPERLINK("[P Only Old retention.xlsx]'Lake P Results'!Z22", 10.98)</f>
        <v>10.98</v>
      </c>
      <c r="AC926" s="27">
        <f>HYPERLINK("[P Only New retention.xlsx]'Lake P Results'!Z22", 7.03)</f>
        <v>7.03</v>
      </c>
      <c r="AD926" s="27">
        <f>HYPERLINK("[P Only with New retention and Differentiation.xlsx]'Lake P Results'!Z22", 23.75)</f>
        <v>23.75</v>
      </c>
      <c r="AE926" s="47">
        <f>AC926-AB926</f>
        <v>-3.95</v>
      </c>
      <c r="AF926" s="46">
        <f>AD926-AB926</f>
        <v>12.77</v>
      </c>
      <c r="AG926" s="27">
        <f>HYPERLINK("[P Only Old retention.xlsx]'Lake P Results'!AA22", 1.89)</f>
        <v>1.89</v>
      </c>
      <c r="AH926" s="27">
        <f>HYPERLINK("[P Only New retention.xlsx]'Lake P Results'!AA22", 1.89)</f>
        <v>1.89</v>
      </c>
      <c r="AI926" s="27">
        <f>HYPERLINK("[P Only with New retention and Differentiation.xlsx]'Lake P Results'!AA22", 1.89)</f>
        <v>1.89</v>
      </c>
      <c r="AJ926" s="18"/>
      <c r="AK926" s="18"/>
      <c r="AL926" s="18"/>
      <c r="AM926" s="18"/>
      <c r="AN926" s="18"/>
      <c r="AO926" s="18"/>
      <c r="AP926" s="18"/>
      <c r="AQ926" s="26">
        <f>HYPERLINK("[P Only Old retention.xlsx]'Lake P Results'!AH22", 840)</f>
        <v>840</v>
      </c>
      <c r="AR926" s="26">
        <f>HYPERLINK("[P Only New retention.xlsx]'Lake P Results'!AH22", 840)</f>
        <v>840</v>
      </c>
      <c r="AS926" s="26">
        <f>HYPERLINK("[P Only with New retention and Differentiation.xlsx]'Lake P Results'!AH22", 840)</f>
        <v>840</v>
      </c>
      <c r="AT926" s="18"/>
      <c r="AU926" s="18"/>
      <c r="AV926" s="18"/>
      <c r="AW926" s="18"/>
      <c r="AX926" s="18"/>
      <c r="AY926" s="18"/>
      <c r="AZ926" s="18"/>
      <c r="BA926" s="27">
        <f>HYPERLINK("[P Only Old retention.xlsx]'Lake P Results'!O22", 892.088)</f>
        <v>892.08799999999997</v>
      </c>
      <c r="BB926" s="27">
        <f>HYPERLINK("[P Only New retention.xlsx]'Lake P Results'!O22", 892.088)</f>
        <v>892.08799999999997</v>
      </c>
      <c r="BC926" s="27">
        <f>HYPERLINK("[P Only with New retention and Differentiation.xlsx]'Lake P Results'!O22", 892.088)</f>
        <v>892.08799999999997</v>
      </c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</row>
    <row r="927" spans="1:67" x14ac:dyDescent="0.55000000000000004">
      <c r="A927" s="31">
        <v>102</v>
      </c>
      <c r="B927" s="5" t="s">
        <v>340</v>
      </c>
      <c r="C927" s="29">
        <f>HYPERLINK("[P Only Old retention.xlsx]'Lake P Results'!AE23", 1.09)</f>
        <v>1.0900000000000001</v>
      </c>
      <c r="D927" s="29">
        <f>HYPERLINK("[P Only New retention.xlsx]'Lake P Results'!AE23", 1.09)</f>
        <v>1.0900000000000001</v>
      </c>
      <c r="E927" s="29">
        <f>HYPERLINK("[P Only with New retention and Differentiation.xlsx]'Lake P Results'!AE23", 1.09)</f>
        <v>1.0900000000000001</v>
      </c>
      <c r="F927" s="13"/>
      <c r="G927" s="13"/>
      <c r="H927" s="28">
        <f>HYPERLINK("[P Only Old retention.xlsx]'Lake P Results'!AM23", 12300)</f>
        <v>12300</v>
      </c>
      <c r="I927" s="28">
        <f>HYPERLINK("[P Only New retention.xlsx]'Lake P Results'!AM23", 12300)</f>
        <v>12300</v>
      </c>
      <c r="J927" s="28">
        <f>HYPERLINK("[P Only with New retention and Differentiation.xlsx]'Lake P Results'!AM23", 12300)</f>
        <v>12300</v>
      </c>
      <c r="K927" s="13"/>
      <c r="L927" s="13"/>
      <c r="M927" s="29">
        <f>HYPERLINK("[P Only Old retention.xlsx]'Lake P Results'!AC23", 9.96)</f>
        <v>9.9600000000000009</v>
      </c>
      <c r="N927" s="29">
        <f>HYPERLINK("[P Only New retention.xlsx]'Lake P Results'!AC23", 6.93)</f>
        <v>6.93</v>
      </c>
      <c r="O927" s="29">
        <f>HYPERLINK("[P Only with New retention and Differentiation.xlsx]'Lake P Results'!AC23", 3.03)</f>
        <v>3.03</v>
      </c>
      <c r="P927" s="47">
        <f>N927-M927</f>
        <v>-3.0300000000000011</v>
      </c>
      <c r="Q927" s="47">
        <f>O927-M927</f>
        <v>-6.9300000000000015</v>
      </c>
      <c r="R927" s="29">
        <f>HYPERLINK("[P Only Old retention.xlsx]'Lake P Results'!Y23", 1.48)</f>
        <v>1.48</v>
      </c>
      <c r="S927" s="29">
        <f>HYPERLINK("[P Only New retention.xlsx]'Lake P Results'!Y23", 6.45)</f>
        <v>6.45</v>
      </c>
      <c r="T927" s="29">
        <f>HYPERLINK("[P Only with New retention and Differentiation.xlsx]'Lake P Results'!Y23", 1.48)</f>
        <v>1.48</v>
      </c>
      <c r="U927" s="46">
        <f>S927-R927</f>
        <v>4.9700000000000006</v>
      </c>
      <c r="V927" s="13"/>
      <c r="W927" s="29">
        <f>HYPERLINK("[P Only Old retention.xlsx]'Lake P Results'!V23", 5.21)</f>
        <v>5.21</v>
      </c>
      <c r="X927" s="29">
        <f>HYPERLINK("[P Only New retention.xlsx]'Lake P Results'!V23", 5.21)</f>
        <v>5.21</v>
      </c>
      <c r="Y927" s="29">
        <f>HYPERLINK("[P Only with New retention and Differentiation.xlsx]'Lake P Results'!V23", 5.21)</f>
        <v>5.21</v>
      </c>
      <c r="Z927" s="13"/>
      <c r="AA927" s="13"/>
      <c r="AB927" s="29">
        <f>HYPERLINK("[P Only Old retention.xlsx]'Lake P Results'!Z23", 1.94)</f>
        <v>1.94</v>
      </c>
      <c r="AC927" s="13"/>
      <c r="AD927" s="29">
        <f>HYPERLINK("[P Only with New retention and Differentiation.xlsx]'Lake P Results'!Z23", 8.87)</f>
        <v>8.8699999999999992</v>
      </c>
      <c r="AE927" s="47">
        <f>AC927-AB927</f>
        <v>-1.94</v>
      </c>
      <c r="AF927" s="46">
        <f>AD927-AB927</f>
        <v>6.93</v>
      </c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28">
        <f>HYPERLINK("[P Only Old retention.xlsx]'Lake P Results'!AH23", 630)</f>
        <v>630</v>
      </c>
      <c r="AR927" s="28">
        <f>HYPERLINK("[P Only New retention.xlsx]'Lake P Results'!AH23", 630)</f>
        <v>630</v>
      </c>
      <c r="AS927" s="28">
        <f>HYPERLINK("[P Only with New retention and Differentiation.xlsx]'Lake P Results'!AH23", 630)</f>
        <v>630</v>
      </c>
      <c r="AT927" s="13"/>
      <c r="AU927" s="13"/>
      <c r="AV927" s="13"/>
      <c r="AW927" s="13"/>
      <c r="AX927" s="13"/>
      <c r="AY927" s="13"/>
      <c r="AZ927" s="13"/>
      <c r="BA927" s="29">
        <f>HYPERLINK("[P Only Old retention.xlsx]'Lake P Results'!O23", 639.256)</f>
        <v>639.25599999999997</v>
      </c>
      <c r="BB927" s="29">
        <f>HYPERLINK("[P Only New retention.xlsx]'Lake P Results'!O23", 639.256)</f>
        <v>639.25599999999997</v>
      </c>
      <c r="BC927" s="29">
        <f>HYPERLINK("[P Only with New retention and Differentiation.xlsx]'Lake P Results'!O23", 639.256)</f>
        <v>639.25599999999997</v>
      </c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</row>
    <row r="928" spans="1:67" x14ac:dyDescent="0.55000000000000004">
      <c r="A928" s="30">
        <v>105</v>
      </c>
      <c r="B928" s="6" t="s">
        <v>341</v>
      </c>
      <c r="C928" s="18"/>
      <c r="D928" s="18"/>
      <c r="E928" s="18"/>
      <c r="F928" s="18"/>
      <c r="G928" s="18"/>
      <c r="H928" s="26">
        <f>HYPERLINK("[P Only Old retention.xlsx]'Lake P Results'!AM24", 800)</f>
        <v>800</v>
      </c>
      <c r="I928" s="26">
        <f>HYPERLINK("[P Only New retention.xlsx]'Lake P Results'!AM24", 800)</f>
        <v>800</v>
      </c>
      <c r="J928" s="26">
        <f>HYPERLINK("[P Only with New retention and Differentiation.xlsx]'Lake P Results'!AM24", 800)</f>
        <v>800</v>
      </c>
      <c r="K928" s="18"/>
      <c r="L928" s="18"/>
      <c r="M928" s="27">
        <f>HYPERLINK("[P Only Old retention.xlsx]'Lake P Results'!AC24", 11.03)</f>
        <v>11.03</v>
      </c>
      <c r="N928" s="27">
        <f>HYPERLINK("[P Only New retention.xlsx]'Lake P Results'!AC24", 0.98)</f>
        <v>0.98</v>
      </c>
      <c r="O928" s="18"/>
      <c r="P928" s="47">
        <f>N928-M928</f>
        <v>-10.049999999999999</v>
      </c>
      <c r="Q928" s="47">
        <f>O928-M928</f>
        <v>-11.03</v>
      </c>
      <c r="R928" s="27">
        <f>HYPERLINK("[P Only Old retention.xlsx]'Lake P Results'!Y24", 1.74)</f>
        <v>1.74</v>
      </c>
      <c r="S928" s="27">
        <f>HYPERLINK("[P Only New retention.xlsx]'Lake P Results'!Y24", 11.15)</f>
        <v>11.15</v>
      </c>
      <c r="T928" s="27">
        <f>HYPERLINK("[P Only with New retention and Differentiation.xlsx]'Lake P Results'!Y24", 2.26)</f>
        <v>2.2599999999999998</v>
      </c>
      <c r="U928" s="46">
        <f>S928-R928</f>
        <v>9.41</v>
      </c>
      <c r="V928" s="46">
        <f>T928-R928</f>
        <v>0.5199999999999998</v>
      </c>
      <c r="W928" s="27">
        <f>HYPERLINK("[P Only Old retention.xlsx]'Lake P Results'!V24", 27.85)</f>
        <v>27.85</v>
      </c>
      <c r="X928" s="27">
        <f>HYPERLINK("[P Only New retention.xlsx]'Lake P Results'!V24", 27.85)</f>
        <v>27.85</v>
      </c>
      <c r="Y928" s="27">
        <f>HYPERLINK("[P Only with New retention and Differentiation.xlsx]'Lake P Results'!V24", 27.85)</f>
        <v>27.85</v>
      </c>
      <c r="Z928" s="18"/>
      <c r="AA928" s="18"/>
      <c r="AB928" s="27">
        <f>HYPERLINK("[P Only Old retention.xlsx]'Lake P Results'!Z24", 0.98)</f>
        <v>0.98</v>
      </c>
      <c r="AC928" s="27">
        <f>HYPERLINK("[P Only New retention.xlsx]'Lake P Results'!Z24", 1.62)</f>
        <v>1.62</v>
      </c>
      <c r="AD928" s="27">
        <f>HYPERLINK("[P Only with New retention and Differentiation.xlsx]'Lake P Results'!Z24", 11.49)</f>
        <v>11.49</v>
      </c>
      <c r="AE928" s="46">
        <f>AC928-AB928</f>
        <v>0.64000000000000012</v>
      </c>
      <c r="AF928" s="46">
        <f>AD928-AB928</f>
        <v>10.51</v>
      </c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26">
        <f>HYPERLINK("[P Only Old retention.xlsx]'Lake P Results'!AH24", 210)</f>
        <v>210</v>
      </c>
      <c r="AR928" s="26">
        <f>HYPERLINK("[P Only New retention.xlsx]'Lake P Results'!AH24", 210)</f>
        <v>210</v>
      </c>
      <c r="AS928" s="26">
        <f>HYPERLINK("[P Only with New retention and Differentiation.xlsx]'Lake P Results'!AH24", 210)</f>
        <v>210</v>
      </c>
      <c r="AT928" s="18"/>
      <c r="AU928" s="18"/>
      <c r="AV928" s="18"/>
      <c r="AW928" s="18"/>
      <c r="AX928" s="18"/>
      <c r="AY928" s="18"/>
      <c r="AZ928" s="18"/>
      <c r="BA928" s="27">
        <f>HYPERLINK("[P Only Old retention.xlsx]'Lake P Results'!O24", 230.66)</f>
        <v>230.66</v>
      </c>
      <c r="BB928" s="27">
        <f>HYPERLINK("[P Only New retention.xlsx]'Lake P Results'!O24", 230.66)</f>
        <v>230.66</v>
      </c>
      <c r="BC928" s="27">
        <f>HYPERLINK("[P Only with New retention and Differentiation.xlsx]'Lake P Results'!O24", 230.66)</f>
        <v>230.66</v>
      </c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</row>
    <row r="929" spans="1:67" x14ac:dyDescent="0.55000000000000004">
      <c r="A929" s="31">
        <v>106</v>
      </c>
      <c r="B929" s="5" t="s">
        <v>342</v>
      </c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</row>
    <row r="930" spans="1:67" x14ac:dyDescent="0.55000000000000004">
      <c r="A930" s="30">
        <v>107</v>
      </c>
      <c r="B930" s="6" t="s">
        <v>343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</row>
    <row r="931" spans="1:67" x14ac:dyDescent="0.55000000000000004">
      <c r="A931" s="31">
        <v>110</v>
      </c>
      <c r="B931" s="5" t="s">
        <v>344</v>
      </c>
      <c r="C931" s="13"/>
      <c r="D931" s="13"/>
      <c r="E931" s="13"/>
      <c r="F931" s="13"/>
      <c r="G931" s="13"/>
      <c r="H931" s="28">
        <f>HYPERLINK("[P Only Old retention.xlsx]'Lake P Results'!AM27", 2400)</f>
        <v>2400</v>
      </c>
      <c r="I931" s="28">
        <f>HYPERLINK("[P Only New retention.xlsx]'Lake P Results'!AM27", 2400)</f>
        <v>2400</v>
      </c>
      <c r="J931" s="28">
        <f>HYPERLINK("[P Only with New retention and Differentiation.xlsx]'Lake P Results'!AM27", 2400)</f>
        <v>2400</v>
      </c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28">
        <f>HYPERLINK("[P Only Old retention.xlsx]'Lake P Results'!AH27", 150)</f>
        <v>150</v>
      </c>
      <c r="AR931" s="28">
        <f>HYPERLINK("[P Only New retention.xlsx]'Lake P Results'!AH27", 150)</f>
        <v>150</v>
      </c>
      <c r="AS931" s="28">
        <f>HYPERLINK("[P Only with New retention and Differentiation.xlsx]'Lake P Results'!AH27", 150)</f>
        <v>150</v>
      </c>
      <c r="AT931" s="13"/>
      <c r="AU931" s="13"/>
      <c r="AV931" s="13"/>
      <c r="AW931" s="13"/>
      <c r="AX931" s="13"/>
      <c r="AY931" s="13"/>
      <c r="AZ931" s="13"/>
      <c r="BA931" s="29">
        <f>HYPERLINK("[P Only Old retention.xlsx]'Lake P Results'!O27", 260.38)</f>
        <v>260.38</v>
      </c>
      <c r="BB931" s="29">
        <f>HYPERLINK("[P Only New retention.xlsx]'Lake P Results'!O27", 260.38)</f>
        <v>260.38</v>
      </c>
      <c r="BC931" s="29">
        <f>HYPERLINK("[P Only with New retention and Differentiation.xlsx]'Lake P Results'!O27", 260.38)</f>
        <v>260.38</v>
      </c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</row>
    <row r="932" spans="1:67" x14ac:dyDescent="0.55000000000000004">
      <c r="A932" s="30">
        <v>111</v>
      </c>
      <c r="B932" s="6" t="s">
        <v>345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</row>
    <row r="933" spans="1:67" x14ac:dyDescent="0.55000000000000004">
      <c r="A933" s="31">
        <v>113</v>
      </c>
      <c r="B933" s="5" t="s">
        <v>346</v>
      </c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</row>
    <row r="934" spans="1:67" x14ac:dyDescent="0.55000000000000004">
      <c r="A934" s="30">
        <v>114</v>
      </c>
      <c r="B934" s="6" t="s">
        <v>347</v>
      </c>
      <c r="C934" s="27">
        <f>HYPERLINK("[P Only Old retention.xlsx]'Lake P Results'!AE30", 0.13)</f>
        <v>0.13</v>
      </c>
      <c r="D934" s="27">
        <f>HYPERLINK("[P Only New retention.xlsx]'Lake P Results'!AE30", 0.13)</f>
        <v>0.13</v>
      </c>
      <c r="E934" s="27">
        <f>HYPERLINK("[P Only with New retention and Differentiation.xlsx]'Lake P Results'!AE30", 0.13)</f>
        <v>0.13</v>
      </c>
      <c r="F934" s="18"/>
      <c r="G934" s="18"/>
      <c r="H934" s="26">
        <f>HYPERLINK("[P Only Old retention.xlsx]'Lake P Results'!AM30", 5000)</f>
        <v>5000</v>
      </c>
      <c r="I934" s="26">
        <f>HYPERLINK("[P Only New retention.xlsx]'Lake P Results'!AM30", 5000)</f>
        <v>5000</v>
      </c>
      <c r="J934" s="26">
        <f>HYPERLINK("[P Only with New retention and Differentiation.xlsx]'Lake P Results'!AM30", 5000)</f>
        <v>5000</v>
      </c>
      <c r="K934" s="18"/>
      <c r="L934" s="18"/>
      <c r="M934" s="27">
        <f>HYPERLINK("[P Only Old retention.xlsx]'Lake P Results'!AC30", 2.4)</f>
        <v>2.4</v>
      </c>
      <c r="N934" s="27">
        <f>HYPERLINK("[P Only New retention.xlsx]'Lake P Results'!AC30", 2.4)</f>
        <v>2.4</v>
      </c>
      <c r="O934" s="27">
        <f>HYPERLINK("[P Only with New retention and Differentiation.xlsx]'Lake P Results'!AC30", 1.93)</f>
        <v>1.93</v>
      </c>
      <c r="P934" s="18"/>
      <c r="Q934" s="47">
        <f>O934-M934</f>
        <v>-0.47</v>
      </c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27">
        <f>HYPERLINK("[P Only Old retention.xlsx]'Lake P Results'!Z30", 1.93)</f>
        <v>1.93</v>
      </c>
      <c r="AC934" s="27">
        <f>HYPERLINK("[P Only New retention.xlsx]'Lake P Results'!Z30", 1.93)</f>
        <v>1.93</v>
      </c>
      <c r="AD934" s="27">
        <f>HYPERLINK("[P Only with New retention and Differentiation.xlsx]'Lake P Results'!Z30", 2.4)</f>
        <v>2.4</v>
      </c>
      <c r="AE934" s="18"/>
      <c r="AF934" s="46">
        <f>AD934-AB934</f>
        <v>0.47</v>
      </c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26">
        <f>HYPERLINK("[P Only Old retention.xlsx]'Lake P Results'!AH30", 250)</f>
        <v>250</v>
      </c>
      <c r="AR934" s="26">
        <f>HYPERLINK("[P Only New retention.xlsx]'Lake P Results'!AH30", 250)</f>
        <v>250</v>
      </c>
      <c r="AS934" s="26">
        <f>HYPERLINK("[P Only with New retention and Differentiation.xlsx]'Lake P Results'!AH30", 250)</f>
        <v>250</v>
      </c>
      <c r="AT934" s="18"/>
      <c r="AU934" s="18"/>
      <c r="AV934" s="18"/>
      <c r="AW934" s="18"/>
      <c r="AX934" s="18"/>
      <c r="AY934" s="18"/>
      <c r="AZ934" s="18"/>
      <c r="BA934" s="27">
        <f>HYPERLINK("[P Only Old retention.xlsx]'Lake P Results'!O30", 212.39)</f>
        <v>212.39</v>
      </c>
      <c r="BB934" s="27">
        <f>HYPERLINK("[P Only New retention.xlsx]'Lake P Results'!O30", 212.39)</f>
        <v>212.39</v>
      </c>
      <c r="BC934" s="27">
        <f>HYPERLINK("[P Only with New retention and Differentiation.xlsx]'Lake P Results'!O30", 212.39)</f>
        <v>212.39</v>
      </c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</row>
    <row r="935" spans="1:67" x14ac:dyDescent="0.55000000000000004">
      <c r="A935" s="31">
        <v>115</v>
      </c>
      <c r="B935" s="5" t="s">
        <v>348</v>
      </c>
      <c r="C935" s="29">
        <f>HYPERLINK("[P Only Old retention.xlsx]'Lake P Results'!AE31", 0.72)</f>
        <v>0.72</v>
      </c>
      <c r="D935" s="29">
        <f>HYPERLINK("[P Only New retention.xlsx]'Lake P Results'!AE31", 0.72)</f>
        <v>0.72</v>
      </c>
      <c r="E935" s="29">
        <f>HYPERLINK("[P Only with New retention and Differentiation.xlsx]'Lake P Results'!AE31", 0.72)</f>
        <v>0.72</v>
      </c>
      <c r="F935" s="13"/>
      <c r="G935" s="13"/>
      <c r="H935" s="28">
        <f>HYPERLINK("[P Only Old retention.xlsx]'Lake P Results'!AM31", 25700)</f>
        <v>25700</v>
      </c>
      <c r="I935" s="28">
        <f>HYPERLINK("[P Only New retention.xlsx]'Lake P Results'!AM31", 25700)</f>
        <v>25700</v>
      </c>
      <c r="J935" s="28">
        <f>HYPERLINK("[P Only with New retention and Differentiation.xlsx]'Lake P Results'!AM31", 25700)</f>
        <v>25700</v>
      </c>
      <c r="K935" s="13"/>
      <c r="L935" s="13"/>
      <c r="M935" s="29">
        <f>HYPERLINK("[P Only Old retention.xlsx]'Lake P Results'!AC31", 20.918)</f>
        <v>20.917999999999999</v>
      </c>
      <c r="N935" s="29">
        <f>HYPERLINK("[P Only New retention.xlsx]'Lake P Results'!AC31", 43.506)</f>
        <v>43.506</v>
      </c>
      <c r="O935" s="29">
        <f>HYPERLINK("[P Only with New retention and Differentiation.xlsx]'Lake P Results'!AC31", 23.442)</f>
        <v>23.442</v>
      </c>
      <c r="P935" s="46">
        <f>N935-M935</f>
        <v>22.588000000000001</v>
      </c>
      <c r="Q935" s="46">
        <f>O935-M935</f>
        <v>2.5240000000000009</v>
      </c>
      <c r="R935" s="29">
        <f>HYPERLINK("[P Only Old retention.xlsx]'Lake P Results'!Y31", 51.554)</f>
        <v>51.554000000000002</v>
      </c>
      <c r="S935" s="29">
        <f>HYPERLINK("[P Only New retention.xlsx]'Lake P Results'!Y31", 40.192)</f>
        <v>40.192</v>
      </c>
      <c r="T935" s="29">
        <f>HYPERLINK("[P Only with New retention and Differentiation.xlsx]'Lake P Results'!Y31", 28.292)</f>
        <v>28.292000000000002</v>
      </c>
      <c r="U935" s="47">
        <f>S935-R935</f>
        <v>-11.362000000000002</v>
      </c>
      <c r="V935" s="47">
        <f>T935-R935</f>
        <v>-23.262</v>
      </c>
      <c r="W935" s="29">
        <f>HYPERLINK("[P Only Old retention.xlsx]'Lake P Results'!V31", 39.69)</f>
        <v>39.69</v>
      </c>
      <c r="X935" s="29">
        <f>HYPERLINK("[P Only New retention.xlsx]'Lake P Results'!V31", 39.69)</f>
        <v>39.69</v>
      </c>
      <c r="Y935" s="29">
        <f>HYPERLINK("[P Only with New retention and Differentiation.xlsx]'Lake P Results'!V31", 39.69)</f>
        <v>39.69</v>
      </c>
      <c r="Z935" s="13"/>
      <c r="AA935" s="13"/>
      <c r="AB935" s="29">
        <f>HYPERLINK("[P Only Old retention.xlsx]'Lake P Results'!Z31", 23.452)</f>
        <v>23.452000000000002</v>
      </c>
      <c r="AC935" s="29">
        <f>HYPERLINK("[P Only New retention.xlsx]'Lake P Results'!Z31", 12.226)</f>
        <v>12.226000000000001</v>
      </c>
      <c r="AD935" s="29">
        <f>HYPERLINK("[P Only with New retention and Differentiation.xlsx]'Lake P Results'!Z31", 44.19)</f>
        <v>44.19</v>
      </c>
      <c r="AE935" s="47">
        <f>AC935-AB935</f>
        <v>-11.226000000000001</v>
      </c>
      <c r="AF935" s="46">
        <f>AD935-AB935</f>
        <v>20.737999999999996</v>
      </c>
      <c r="AG935" s="13"/>
      <c r="AH935" s="13"/>
      <c r="AI935" s="13"/>
      <c r="AJ935" s="13"/>
      <c r="AK935" s="13"/>
      <c r="AL935" s="29">
        <f>HYPERLINK("[P Only Old retention.xlsx]'Lake P Results'!AF31", 0.2)</f>
        <v>0.2</v>
      </c>
      <c r="AM935" s="29">
        <f>HYPERLINK("[P Only New retention.xlsx]'Lake P Results'!AF31", 0.2)</f>
        <v>0.2</v>
      </c>
      <c r="AN935" s="29">
        <f>HYPERLINK("[P Only with New retention and Differentiation.xlsx]'Lake P Results'!AF31", 0.2)</f>
        <v>0.2</v>
      </c>
      <c r="AO935" s="13"/>
      <c r="AP935" s="13"/>
      <c r="AQ935" s="28">
        <f>HYPERLINK("[P Only Old retention.xlsx]'Lake P Results'!AH31", 1070)</f>
        <v>1070</v>
      </c>
      <c r="AR935" s="28">
        <f>HYPERLINK("[P Only New retention.xlsx]'Lake P Results'!AH31", 1070)</f>
        <v>1070</v>
      </c>
      <c r="AS935" s="28">
        <f>HYPERLINK("[P Only with New retention and Differentiation.xlsx]'Lake P Results'!AH31", 1070)</f>
        <v>1070</v>
      </c>
      <c r="AT935" s="13"/>
      <c r="AU935" s="13"/>
      <c r="AV935" s="13"/>
      <c r="AW935" s="13"/>
      <c r="AX935" s="13"/>
      <c r="AY935" s="13"/>
      <c r="AZ935" s="13"/>
      <c r="BA935" s="29">
        <f>HYPERLINK("[P Only Old retention.xlsx]'Lake P Results'!O31", 1043.32)</f>
        <v>1043.32</v>
      </c>
      <c r="BB935" s="29">
        <f>HYPERLINK("[P Only New retention.xlsx]'Lake P Results'!O31", 1043.32)</f>
        <v>1043.32</v>
      </c>
      <c r="BC935" s="29">
        <f>HYPERLINK("[P Only with New retention and Differentiation.xlsx]'Lake P Results'!O31", 1043.32)</f>
        <v>1043.32</v>
      </c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</row>
    <row r="936" spans="1:67" x14ac:dyDescent="0.55000000000000004">
      <c r="A936" s="30">
        <v>117</v>
      </c>
      <c r="B936" s="6" t="s">
        <v>349</v>
      </c>
      <c r="C936" s="27">
        <f>HYPERLINK("[P Only Old retention.xlsx]'Lake P Results'!AE32", 0.3)</f>
        <v>0.3</v>
      </c>
      <c r="D936" s="27">
        <f>HYPERLINK("[P Only New retention.xlsx]'Lake P Results'!AE32", 0.3)</f>
        <v>0.3</v>
      </c>
      <c r="E936" s="27">
        <f>HYPERLINK("[P Only with New retention and Differentiation.xlsx]'Lake P Results'!AE32", 0.3)</f>
        <v>0.3</v>
      </c>
      <c r="F936" s="18"/>
      <c r="G936" s="18"/>
      <c r="H936" s="26">
        <f>HYPERLINK("[P Only Old retention.xlsx]'Lake P Results'!AM32", 3100)</f>
        <v>3100</v>
      </c>
      <c r="I936" s="26">
        <f>HYPERLINK("[P Only New retention.xlsx]'Lake P Results'!AM32", 3200)</f>
        <v>3200</v>
      </c>
      <c r="J936" s="26">
        <f>HYPERLINK("[P Only with New retention and Differentiation.xlsx]'Lake P Results'!AM32", 3200)</f>
        <v>3200</v>
      </c>
      <c r="K936" s="16">
        <f>I936-H936</f>
        <v>100</v>
      </c>
      <c r="L936" s="16">
        <f>J936-H936</f>
        <v>100</v>
      </c>
      <c r="M936" s="27">
        <f>HYPERLINK("[P Only Old retention.xlsx]'Lake P Results'!AC32", 22.87)</f>
        <v>22.87</v>
      </c>
      <c r="N936" s="27">
        <f>HYPERLINK("[P Only New retention.xlsx]'Lake P Results'!AC32", 25.06)</f>
        <v>25.06</v>
      </c>
      <c r="O936" s="27">
        <f>HYPERLINK("[P Only with New retention and Differentiation.xlsx]'Lake P Results'!AC32", 20.03)</f>
        <v>20.03</v>
      </c>
      <c r="P936" s="46">
        <f>N936-M936</f>
        <v>2.1899999999999977</v>
      </c>
      <c r="Q936" s="47">
        <f>O936-M936</f>
        <v>-2.84</v>
      </c>
      <c r="R936" s="18"/>
      <c r="S936" s="27">
        <f>HYPERLINK("[P Only New retention.xlsx]'Lake P Results'!Y32", 7.07)</f>
        <v>7.07</v>
      </c>
      <c r="T936" s="27">
        <f>HYPERLINK("[P Only with New retention and Differentiation.xlsx]'Lake P Results'!Y32", 9.26)</f>
        <v>9.26</v>
      </c>
      <c r="U936" s="46">
        <f>S936-R936</f>
        <v>7.07</v>
      </c>
      <c r="V936" s="46">
        <f>T936-R936</f>
        <v>9.26</v>
      </c>
      <c r="W936" s="27">
        <f>HYPERLINK("[P Only Old retention.xlsx]'Lake P Results'!V32", 14.54)</f>
        <v>14.54</v>
      </c>
      <c r="X936" s="27">
        <f>HYPERLINK("[P Only New retention.xlsx]'Lake P Results'!V32", 14.54)</f>
        <v>14.54</v>
      </c>
      <c r="Y936" s="27">
        <f>HYPERLINK("[P Only with New retention and Differentiation.xlsx]'Lake P Results'!V32", 6.76)</f>
        <v>6.76</v>
      </c>
      <c r="Z936" s="18"/>
      <c r="AA936" s="47">
        <f>Y936-W936</f>
        <v>-7.7799999999999994</v>
      </c>
      <c r="AB936" s="27">
        <f>HYPERLINK("[P Only Old retention.xlsx]'Lake P Results'!Z32", 9.26)</f>
        <v>9.26</v>
      </c>
      <c r="AC936" s="18"/>
      <c r="AD936" s="27">
        <f>HYPERLINK("[P Only with New retention and Differentiation.xlsx]'Lake P Results'!Z32", 2.84)</f>
        <v>2.84</v>
      </c>
      <c r="AE936" s="47">
        <f>AC936-AB936</f>
        <v>-9.26</v>
      </c>
      <c r="AF936" s="47">
        <f>AD936-AB936</f>
        <v>-6.42</v>
      </c>
      <c r="AG936" s="27">
        <f>HYPERLINK("[P Only Old retention.xlsx]'Lake P Results'!AA32", 7.862)</f>
        <v>7.8620000000000001</v>
      </c>
      <c r="AH936" s="27">
        <f>HYPERLINK("[P Only New retention.xlsx]'Lake P Results'!AA32", 16.182)</f>
        <v>16.181999999999999</v>
      </c>
      <c r="AI936" s="27">
        <f>HYPERLINK("[P Only with New retention and Differentiation.xlsx]'Lake P Results'!AA32", 8.32)</f>
        <v>8.32</v>
      </c>
      <c r="AJ936" s="46">
        <f>AH936-AG936</f>
        <v>8.3199999999999985</v>
      </c>
      <c r="AK936" s="46">
        <f>AI936-AG936</f>
        <v>0.45800000000000018</v>
      </c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27">
        <f>HYPERLINK("[P Only Old retention.xlsx]'Lake P Results'!M32", 31.53)</f>
        <v>31.53</v>
      </c>
      <c r="AW936" s="27">
        <f>HYPERLINK("[P Only New retention.xlsx]'Lake P Results'!M32", 31.53)</f>
        <v>31.53</v>
      </c>
      <c r="AX936" s="27">
        <f>HYPERLINK("[P Only with New retention and Differentiation.xlsx]'Lake P Results'!M32", 34.64)</f>
        <v>34.64</v>
      </c>
      <c r="AY936" s="18"/>
      <c r="AZ936" s="46">
        <f>AX936-AV936</f>
        <v>3.1099999999999994</v>
      </c>
      <c r="BA936" s="27">
        <f>HYPERLINK("[P Only Old retention.xlsx]'Lake P Results'!O32", 2.232)</f>
        <v>2.2320000000000002</v>
      </c>
      <c r="BB936" s="27">
        <f>HYPERLINK("[P Only New retention.xlsx]'Lake P Results'!O32", 2.232)</f>
        <v>2.2320000000000002</v>
      </c>
      <c r="BC936" s="27">
        <f>HYPERLINK("[P Only with New retention and Differentiation.xlsx]'Lake P Results'!O32", 6.852)</f>
        <v>6.8520000000000003</v>
      </c>
      <c r="BD936" s="18"/>
      <c r="BE936" s="46">
        <f>BC936-BA936</f>
        <v>4.62</v>
      </c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</row>
    <row r="937" spans="1:67" x14ac:dyDescent="0.55000000000000004">
      <c r="A937" s="31">
        <v>119</v>
      </c>
      <c r="B937" s="5" t="s">
        <v>350</v>
      </c>
      <c r="C937" s="29">
        <f>HYPERLINK("[P Only Old retention.xlsx]'Lake P Results'!AE33", 0.510000000000001)</f>
        <v>0.51000000000000101</v>
      </c>
      <c r="D937" s="29">
        <f>HYPERLINK("[P Only New retention.xlsx]'Lake P Results'!AE33", 0.510000000000001)</f>
        <v>0.51000000000000101</v>
      </c>
      <c r="E937" s="29">
        <f>HYPERLINK("[P Only with New retention and Differentiation.xlsx]'Lake P Results'!AE33", 0.510000000000001)</f>
        <v>0.51000000000000101</v>
      </c>
      <c r="F937" s="13"/>
      <c r="G937" s="13"/>
      <c r="H937" s="28">
        <f>HYPERLINK("[P Only Old retention.xlsx]'Lake P Results'!AM33", 19600)</f>
        <v>19600</v>
      </c>
      <c r="I937" s="28">
        <f>HYPERLINK("[P Only New retention.xlsx]'Lake P Results'!AM33", 19600)</f>
        <v>19600</v>
      </c>
      <c r="J937" s="28">
        <f>HYPERLINK("[P Only with New retention and Differentiation.xlsx]'Lake P Results'!AM33", 19600)</f>
        <v>19600</v>
      </c>
      <c r="K937" s="13"/>
      <c r="L937" s="13"/>
      <c r="M937" s="13"/>
      <c r="N937" s="13"/>
      <c r="O937" s="13"/>
      <c r="P937" s="13"/>
      <c r="Q937" s="13"/>
      <c r="R937" s="29">
        <f>HYPERLINK("[P Only Old retention.xlsx]'Lake P Results'!Y33", 3.486)</f>
        <v>3.4860000000000002</v>
      </c>
      <c r="S937" s="29">
        <f>HYPERLINK("[P Only New retention.xlsx]'Lake P Results'!Y33", 3.486)</f>
        <v>3.4860000000000002</v>
      </c>
      <c r="T937" s="29">
        <f>HYPERLINK("[P Only with New retention and Differentiation.xlsx]'Lake P Results'!Y33", 1.566)</f>
        <v>1.5660000000000001</v>
      </c>
      <c r="U937" s="13"/>
      <c r="V937" s="47">
        <f>T937-R937</f>
        <v>-1.9200000000000002</v>
      </c>
      <c r="W937" s="29">
        <f>HYPERLINK("[P Only Old retention.xlsx]'Lake P Results'!V33", 2.42)</f>
        <v>2.42</v>
      </c>
      <c r="X937" s="29">
        <f>HYPERLINK("[P Only New retention.xlsx]'Lake P Results'!V33", 2.42)</f>
        <v>2.42</v>
      </c>
      <c r="Y937" s="29">
        <f>HYPERLINK("[P Only with New retention and Differentiation.xlsx]'Lake P Results'!V33", 2.42)</f>
        <v>2.42</v>
      </c>
      <c r="Z937" s="13"/>
      <c r="AA937" s="13"/>
      <c r="AB937" s="13"/>
      <c r="AC937" s="13"/>
      <c r="AD937" s="29">
        <f>HYPERLINK("[P Only with New retention and Differentiation.xlsx]'Lake P Results'!Z33", 1.92)</f>
        <v>1.92</v>
      </c>
      <c r="AE937" s="13"/>
      <c r="AF937" s="46">
        <f>AD937-AB937</f>
        <v>1.92</v>
      </c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28">
        <f>HYPERLINK("[P Only Old retention.xlsx]'Lake P Results'!AH33", 470)</f>
        <v>470</v>
      </c>
      <c r="AR937" s="28">
        <f>HYPERLINK("[P Only New retention.xlsx]'Lake P Results'!AH33", 470)</f>
        <v>470</v>
      </c>
      <c r="AS937" s="28">
        <f>HYPERLINK("[P Only with New retention and Differentiation.xlsx]'Lake P Results'!AH33", 470)</f>
        <v>470</v>
      </c>
      <c r="AT937" s="13"/>
      <c r="AU937" s="16">
        <f>AS937-AQ937</f>
        <v>0</v>
      </c>
      <c r="AV937" s="13"/>
      <c r="AW937" s="13"/>
      <c r="AX937" s="13"/>
      <c r="AY937" s="13"/>
      <c r="AZ937" s="13"/>
      <c r="BA937" s="29">
        <f>HYPERLINK("[P Only Old retention.xlsx]'Lake P Results'!O33", 506.568)</f>
        <v>506.56799999999998</v>
      </c>
      <c r="BB937" s="29">
        <f>HYPERLINK("[P Only New retention.xlsx]'Lake P Results'!O33", 506.568)</f>
        <v>506.56799999999998</v>
      </c>
      <c r="BC937" s="29">
        <f>HYPERLINK("[P Only with New retention and Differentiation.xlsx]'Lake P Results'!O33", 506.568)</f>
        <v>506.56799999999998</v>
      </c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</row>
    <row r="938" spans="1:67" x14ac:dyDescent="0.55000000000000004">
      <c r="A938" s="30">
        <v>121</v>
      </c>
      <c r="B938" s="6" t="s">
        <v>351</v>
      </c>
      <c r="C938" s="18"/>
      <c r="D938" s="18"/>
      <c r="E938" s="18"/>
      <c r="F938" s="18"/>
      <c r="G938" s="18"/>
      <c r="H938" s="26">
        <f>HYPERLINK("[P Only Old retention.xlsx]'Lake P Results'!AM34", 200)</f>
        <v>200</v>
      </c>
      <c r="I938" s="26">
        <f>HYPERLINK("[P Only New retention.xlsx]'Lake P Results'!AM34", 200)</f>
        <v>200</v>
      </c>
      <c r="J938" s="26">
        <f>HYPERLINK("[P Only with New retention and Differentiation.xlsx]'Lake P Results'!AM34", 200)</f>
        <v>200</v>
      </c>
      <c r="K938" s="18"/>
      <c r="L938" s="18"/>
      <c r="M938" s="27">
        <f>HYPERLINK("[P Only Old retention.xlsx]'Lake P Results'!AC34", 14.33)</f>
        <v>14.33</v>
      </c>
      <c r="N938" s="27">
        <f>HYPERLINK("[P Only New retention.xlsx]'Lake P Results'!AC34", 11.41)</f>
        <v>11.41</v>
      </c>
      <c r="O938" s="27">
        <f>HYPERLINK("[P Only with New retention and Differentiation.xlsx]'Lake P Results'!AC34", 11.41)</f>
        <v>11.41</v>
      </c>
      <c r="P938" s="47">
        <f>N938-M938</f>
        <v>-2.92</v>
      </c>
      <c r="Q938" s="47">
        <f>O938-M938</f>
        <v>-2.92</v>
      </c>
      <c r="R938" s="18"/>
      <c r="S938" s="18"/>
      <c r="T938" s="18"/>
      <c r="U938" s="18"/>
      <c r="V938" s="18"/>
      <c r="W938" s="27">
        <f>HYPERLINK("[P Only Old retention.xlsx]'Lake P Results'!V34", 1.35)</f>
        <v>1.35</v>
      </c>
      <c r="X938" s="27">
        <f>HYPERLINK("[P Only New retention.xlsx]'Lake P Results'!V34", 1.35)</f>
        <v>1.35</v>
      </c>
      <c r="Y938" s="27">
        <f>HYPERLINK("[P Only with New retention and Differentiation.xlsx]'Lake P Results'!V34", 1.35)</f>
        <v>1.35</v>
      </c>
      <c r="Z938" s="18"/>
      <c r="AA938" s="18"/>
      <c r="AB938" s="18"/>
      <c r="AC938" s="18"/>
      <c r="AD938" s="18"/>
      <c r="AE938" s="18"/>
      <c r="AF938" s="18"/>
      <c r="AG938" s="27">
        <f>HYPERLINK("[P Only Old retention.xlsx]'Lake P Results'!AA34", 6.74)</f>
        <v>6.74</v>
      </c>
      <c r="AH938" s="27">
        <f>HYPERLINK("[P Only New retention.xlsx]'Lake P Results'!AA34", 6.74)</f>
        <v>6.74</v>
      </c>
      <c r="AI938" s="27">
        <f>HYPERLINK("[P Only with New retention and Differentiation.xlsx]'Lake P Results'!AA34", 6.74)</f>
        <v>6.74</v>
      </c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</row>
    <row r="939" spans="1:67" x14ac:dyDescent="0.55000000000000004">
      <c r="A939" s="31">
        <v>123</v>
      </c>
      <c r="B939" s="5" t="s">
        <v>352</v>
      </c>
      <c r="C939" s="29">
        <f>HYPERLINK("[P Only Old retention.xlsx]'Lake P Results'!AE35", 2.32)</f>
        <v>2.3199999999999998</v>
      </c>
      <c r="D939" s="29">
        <f>HYPERLINK("[P Only New retention.xlsx]'Lake P Results'!AE35", 2.32)</f>
        <v>2.3199999999999998</v>
      </c>
      <c r="E939" s="29">
        <f>HYPERLINK("[P Only with New retention and Differentiation.xlsx]'Lake P Results'!AE35", 2.32)</f>
        <v>2.3199999999999998</v>
      </c>
      <c r="F939" s="13"/>
      <c r="G939" s="13"/>
      <c r="H939" s="28">
        <f>HYPERLINK("[P Only Old retention.xlsx]'Lake P Results'!AM35", 20200)</f>
        <v>20200</v>
      </c>
      <c r="I939" s="28">
        <f>HYPERLINK("[P Only New retention.xlsx]'Lake P Results'!AM35", 20400)</f>
        <v>20400</v>
      </c>
      <c r="J939" s="28">
        <f>HYPERLINK("[P Only with New retention and Differentiation.xlsx]'Lake P Results'!AM35", 20400)</f>
        <v>20400</v>
      </c>
      <c r="K939" s="16">
        <f>I939-H939</f>
        <v>200</v>
      </c>
      <c r="L939" s="16">
        <f>J939-H939</f>
        <v>200</v>
      </c>
      <c r="M939" s="29">
        <f>HYPERLINK("[P Only Old retention.xlsx]'Lake P Results'!AC35", 176.876)</f>
        <v>176.876</v>
      </c>
      <c r="N939" s="29">
        <f>HYPERLINK("[P Only New retention.xlsx]'Lake P Results'!AC35", 154.39)</f>
        <v>154.38999999999999</v>
      </c>
      <c r="O939" s="29">
        <f>HYPERLINK("[P Only with New retention and Differentiation.xlsx]'Lake P Results'!AC35", 169.1)</f>
        <v>169.1</v>
      </c>
      <c r="P939" s="47">
        <f>N939-M939</f>
        <v>-22.486000000000018</v>
      </c>
      <c r="Q939" s="47">
        <f>O939-M939</f>
        <v>-7.7760000000000105</v>
      </c>
      <c r="R939" s="29">
        <f>HYPERLINK("[P Only Old retention.xlsx]'Lake P Results'!Y35", 126.022)</f>
        <v>126.02200000000001</v>
      </c>
      <c r="S939" s="29">
        <f>HYPERLINK("[P Only New retention.xlsx]'Lake P Results'!Y35", 137.79)</f>
        <v>137.79</v>
      </c>
      <c r="T939" s="29">
        <f>HYPERLINK("[P Only with New retention and Differentiation.xlsx]'Lake P Results'!Y35", 105.202)</f>
        <v>105.202</v>
      </c>
      <c r="U939" s="46">
        <f>S939-R939</f>
        <v>11.767999999999986</v>
      </c>
      <c r="V939" s="47">
        <f>T939-R939</f>
        <v>-20.820000000000007</v>
      </c>
      <c r="W939" s="29">
        <f>HYPERLINK("[P Only Old retention.xlsx]'Lake P Results'!V35", 42.844)</f>
        <v>42.844000000000001</v>
      </c>
      <c r="X939" s="29">
        <f>HYPERLINK("[P Only New retention.xlsx]'Lake P Results'!V35", 42.844)</f>
        <v>42.844000000000001</v>
      </c>
      <c r="Y939" s="29">
        <f>HYPERLINK("[P Only with New retention and Differentiation.xlsx]'Lake P Results'!V35", 42.844)</f>
        <v>42.844000000000001</v>
      </c>
      <c r="Z939" s="13"/>
      <c r="AA939" s="13"/>
      <c r="AB939" s="29">
        <f>HYPERLINK("[P Only Old retention.xlsx]'Lake P Results'!Z35", 11.02)</f>
        <v>11.02</v>
      </c>
      <c r="AC939" s="29">
        <f>HYPERLINK("[P Only New retention.xlsx]'Lake P Results'!Z35", 21.738)</f>
        <v>21.738</v>
      </c>
      <c r="AD939" s="29">
        <f>HYPERLINK("[P Only with New retention and Differentiation.xlsx]'Lake P Results'!Z35", 39.616)</f>
        <v>39.616</v>
      </c>
      <c r="AE939" s="46">
        <f>AC939-AB939</f>
        <v>10.718</v>
      </c>
      <c r="AF939" s="46">
        <f>AD939-AB939</f>
        <v>28.596</v>
      </c>
      <c r="AG939" s="29">
        <f>HYPERLINK("[P Only Old retention.xlsx]'Lake P Results'!AA35", 0.212)</f>
        <v>0.21199999999999999</v>
      </c>
      <c r="AH939" s="29">
        <f>HYPERLINK("[P Only New retention.xlsx]'Lake P Results'!AA35", 0.212)</f>
        <v>0.21199999999999999</v>
      </c>
      <c r="AI939" s="29">
        <f>HYPERLINK("[P Only with New retention and Differentiation.xlsx]'Lake P Results'!AA35", 0.212)</f>
        <v>0.21199999999999999</v>
      </c>
      <c r="AJ939" s="13"/>
      <c r="AK939" s="13"/>
      <c r="AL939" s="29">
        <f>HYPERLINK("[P Only Old retention.xlsx]'Lake P Results'!AF35", 0.19)</f>
        <v>0.19</v>
      </c>
      <c r="AM939" s="29">
        <f>HYPERLINK("[P Only New retention.xlsx]'Lake P Results'!AF35", 0.19)</f>
        <v>0.19</v>
      </c>
      <c r="AN939" s="29">
        <f>HYPERLINK("[P Only with New retention and Differentiation.xlsx]'Lake P Results'!AF35", 0.19)</f>
        <v>0.19</v>
      </c>
      <c r="AO939" s="13"/>
      <c r="AP939" s="13"/>
      <c r="AQ939" s="28">
        <f>HYPERLINK("[P Only Old retention.xlsx]'Lake P Results'!AH35", 939.999999993952)</f>
        <v>939.99999999395197</v>
      </c>
      <c r="AR939" s="28">
        <f>HYPERLINK("[P Only New retention.xlsx]'Lake P Results'!AH35", 940)</f>
        <v>940</v>
      </c>
      <c r="AS939" s="28">
        <f>HYPERLINK("[P Only with New retention and Differentiation.xlsx]'Lake P Results'!AH35", 940)</f>
        <v>940</v>
      </c>
      <c r="AT939" s="16">
        <f>AR939-AQ939</f>
        <v>6.0480260799522512E-9</v>
      </c>
      <c r="AU939" s="16">
        <f>AS939-AQ939</f>
        <v>6.0480260799522512E-9</v>
      </c>
      <c r="AV939" s="13"/>
      <c r="AW939" s="13"/>
      <c r="AX939" s="13"/>
      <c r="AY939" s="13"/>
      <c r="AZ939" s="13"/>
      <c r="BA939" s="29">
        <f>HYPERLINK("[P Only Old retention.xlsx]'Lake P Results'!O35", 732.832)</f>
        <v>732.83199999999999</v>
      </c>
      <c r="BB939" s="29">
        <f>HYPERLINK("[P Only New retention.xlsx]'Lake P Results'!O35", 732.832)</f>
        <v>732.83199999999999</v>
      </c>
      <c r="BC939" s="29">
        <f>HYPERLINK("[P Only with New retention and Differentiation.xlsx]'Lake P Results'!O35", 732.832)</f>
        <v>732.83199999999999</v>
      </c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</row>
    <row r="940" spans="1:67" x14ac:dyDescent="0.55000000000000004">
      <c r="A940" s="30">
        <v>128</v>
      </c>
      <c r="B940" s="6" t="s">
        <v>353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</row>
    <row r="941" spans="1:67" x14ac:dyDescent="0.55000000000000004">
      <c r="A941" s="31">
        <v>129</v>
      </c>
      <c r="B941" s="5" t="s">
        <v>354</v>
      </c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</row>
    <row r="942" spans="1:67" x14ac:dyDescent="0.55000000000000004">
      <c r="A942" s="30">
        <v>135</v>
      </c>
      <c r="B942" s="6" t="s">
        <v>355</v>
      </c>
      <c r="C942" s="27">
        <f>HYPERLINK("[P Only Old retention.xlsx]'Lake P Results'!AE38", 7.09)</f>
        <v>7.09</v>
      </c>
      <c r="D942" s="27">
        <f>HYPERLINK("[P Only New retention.xlsx]'Lake P Results'!AE38", 7.09)</f>
        <v>7.09</v>
      </c>
      <c r="E942" s="27">
        <f>HYPERLINK("[P Only with New retention and Differentiation.xlsx]'Lake P Results'!AE38", 7.09)</f>
        <v>7.09</v>
      </c>
      <c r="F942" s="18"/>
      <c r="G942" s="18"/>
      <c r="H942" s="26">
        <f>HYPERLINK("[P Only Old retention.xlsx]'Lake P Results'!AM38", 20100)</f>
        <v>20100</v>
      </c>
      <c r="I942" s="26">
        <f>HYPERLINK("[P Only New retention.xlsx]'Lake P Results'!AM38", 20100)</f>
        <v>20100</v>
      </c>
      <c r="J942" s="26">
        <f>HYPERLINK("[P Only with New retention and Differentiation.xlsx]'Lake P Results'!AM38", 20100)</f>
        <v>20100</v>
      </c>
      <c r="K942" s="18"/>
      <c r="L942" s="18"/>
      <c r="M942" s="27">
        <f>HYPERLINK("[P Only Old retention.xlsx]'Lake P Results'!AC38", 655.502)</f>
        <v>655.50199999999995</v>
      </c>
      <c r="N942" s="27">
        <f>HYPERLINK("[P Only New retention.xlsx]'Lake P Results'!AC38", 641.642)</f>
        <v>641.64200000000005</v>
      </c>
      <c r="O942" s="27">
        <f>HYPERLINK("[P Only with New retention and Differentiation.xlsx]'Lake P Results'!AC38", 643.292)</f>
        <v>643.29200000000003</v>
      </c>
      <c r="P942" s="47">
        <f>N942-M942</f>
        <v>-13.8599999999999</v>
      </c>
      <c r="Q942" s="47">
        <f>O942-M942</f>
        <v>-12.209999999999923</v>
      </c>
      <c r="R942" s="27">
        <f>HYPERLINK("[P Only Old retention.xlsx]'Lake P Results'!Y38", 351.436)</f>
        <v>351.43599999999998</v>
      </c>
      <c r="S942" s="27">
        <f>HYPERLINK("[P Only New retention.xlsx]'Lake P Results'!Y38", 321.926)</f>
        <v>321.92599999999999</v>
      </c>
      <c r="T942" s="27">
        <f>HYPERLINK("[P Only with New retention and Differentiation.xlsx]'Lake P Results'!Y38", 300.352)</f>
        <v>300.35199999999998</v>
      </c>
      <c r="U942" s="47">
        <f>S942-R942</f>
        <v>-29.509999999999991</v>
      </c>
      <c r="V942" s="47">
        <f>T942-R942</f>
        <v>-51.084000000000003</v>
      </c>
      <c r="W942" s="27">
        <f>HYPERLINK("[P Only Old retention.xlsx]'Lake P Results'!V38", 335.86)</f>
        <v>335.86</v>
      </c>
      <c r="X942" s="27">
        <f>HYPERLINK("[P Only New retention.xlsx]'Lake P Results'!V38", 351.12)</f>
        <v>351.12</v>
      </c>
      <c r="Y942" s="27">
        <f>HYPERLINK("[P Only with New retention and Differentiation.xlsx]'Lake P Results'!V38", 351.12)</f>
        <v>351.12</v>
      </c>
      <c r="Z942" s="46">
        <f>X942-W942</f>
        <v>15.259999999999991</v>
      </c>
      <c r="AA942" s="46">
        <f>Y942-W942</f>
        <v>15.259999999999991</v>
      </c>
      <c r="AB942" s="27">
        <f>HYPERLINK("[P Only Old retention.xlsx]'Lake P Results'!Z38", 13.282)</f>
        <v>13.282</v>
      </c>
      <c r="AC942" s="27">
        <f>HYPERLINK("[P Only New retention.xlsx]'Lake P Results'!Z38", 49.842)</f>
        <v>49.841999999999999</v>
      </c>
      <c r="AD942" s="27">
        <f>HYPERLINK("[P Only with New retention and Differentiation.xlsx]'Lake P Results'!Z38", 69.766)</f>
        <v>69.766000000000005</v>
      </c>
      <c r="AE942" s="46">
        <f>AC942-AB942</f>
        <v>36.56</v>
      </c>
      <c r="AF942" s="46">
        <f>AD942-AB942</f>
        <v>56.484000000000009</v>
      </c>
      <c r="AG942" s="27">
        <f>HYPERLINK("[P Only Old retention.xlsx]'Lake P Results'!AA38", 3.14)</f>
        <v>3.14</v>
      </c>
      <c r="AH942" s="27">
        <f>HYPERLINK("[P Only New retention.xlsx]'Lake P Results'!AA38", 3.14)</f>
        <v>3.14</v>
      </c>
      <c r="AI942" s="27">
        <f>HYPERLINK("[P Only with New retention and Differentiation.xlsx]'Lake P Results'!AA38", 3.14)</f>
        <v>3.14</v>
      </c>
      <c r="AJ942" s="18"/>
      <c r="AK942" s="18"/>
      <c r="AL942" s="27">
        <f>HYPERLINK("[P Only Old retention.xlsx]'Lake P Results'!AF38", 0.19)</f>
        <v>0.19</v>
      </c>
      <c r="AM942" s="27">
        <f>HYPERLINK("[P Only New retention.xlsx]'Lake P Results'!AF38", 0.19)</f>
        <v>0.19</v>
      </c>
      <c r="AN942" s="27">
        <f>HYPERLINK("[P Only with New retention and Differentiation.xlsx]'Lake P Results'!AF38", 0.19)</f>
        <v>0.19</v>
      </c>
      <c r="AO942" s="18"/>
      <c r="AP942" s="18"/>
      <c r="AQ942" s="26">
        <f>HYPERLINK("[P Only Old retention.xlsx]'Lake P Results'!AH38", 1550)</f>
        <v>1550</v>
      </c>
      <c r="AR942" s="26">
        <f>HYPERLINK("[P Only New retention.xlsx]'Lake P Results'!AH38", 1550)</f>
        <v>1550</v>
      </c>
      <c r="AS942" s="26">
        <f>HYPERLINK("[P Only with New retention and Differentiation.xlsx]'Lake P Results'!AH38", 1550)</f>
        <v>1550</v>
      </c>
      <c r="AT942" s="18"/>
      <c r="AU942" s="18"/>
      <c r="AV942" s="27">
        <f>HYPERLINK("[P Only Old retention.xlsx]'Lake P Results'!M38", 4.69)</f>
        <v>4.6900000000000004</v>
      </c>
      <c r="AW942" s="18"/>
      <c r="AX942" s="18"/>
      <c r="AY942" s="47">
        <f>AW942-AV942</f>
        <v>-4.6900000000000004</v>
      </c>
      <c r="AZ942" s="47">
        <f>AX942-AV942</f>
        <v>-4.6900000000000004</v>
      </c>
      <c r="BA942" s="27">
        <f>HYPERLINK("[P Only Old retention.xlsx]'Lake P Results'!O38", 185.024)</f>
        <v>185.024</v>
      </c>
      <c r="BB942" s="27">
        <f>HYPERLINK("[P Only New retention.xlsx]'Lake P Results'!O38", 185.024)</f>
        <v>185.024</v>
      </c>
      <c r="BC942" s="27">
        <f>HYPERLINK("[P Only with New retention and Differentiation.xlsx]'Lake P Results'!O38", 185.024)</f>
        <v>185.024</v>
      </c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</row>
    <row r="943" spans="1:67" x14ac:dyDescent="0.55000000000000004">
      <c r="A943" s="31">
        <v>136</v>
      </c>
      <c r="B943" s="5" t="s">
        <v>356</v>
      </c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</row>
    <row r="944" spans="1:67" x14ac:dyDescent="0.55000000000000004">
      <c r="A944" s="30">
        <v>137</v>
      </c>
      <c r="B944" s="6" t="s">
        <v>357</v>
      </c>
      <c r="C944" s="18"/>
      <c r="D944" s="18"/>
      <c r="E944" s="18"/>
      <c r="F944" s="18"/>
      <c r="G944" s="18"/>
      <c r="H944" s="26">
        <f>HYPERLINK("[P Only Old retention.xlsx]'Lake P Results'!AM40", 2600)</f>
        <v>2600</v>
      </c>
      <c r="I944" s="26">
        <f>HYPERLINK("[P Only New retention.xlsx]'Lake P Results'!AM40", 2600)</f>
        <v>2600</v>
      </c>
      <c r="J944" s="26">
        <f>HYPERLINK("[P Only with New retention and Differentiation.xlsx]'Lake P Results'!AM40", 2600)</f>
        <v>2600</v>
      </c>
      <c r="K944" s="18"/>
      <c r="L944" s="18"/>
      <c r="M944" s="27">
        <f>HYPERLINK("[P Only Old retention.xlsx]'Lake P Results'!AC40", 3.43)</f>
        <v>3.43</v>
      </c>
      <c r="N944" s="27">
        <f>HYPERLINK("[P Only New retention.xlsx]'Lake P Results'!AC40", 1.48)</f>
        <v>1.48</v>
      </c>
      <c r="O944" s="27">
        <f>HYPERLINK("[P Only with New retention and Differentiation.xlsx]'Lake P Results'!AC40", 4.91)</f>
        <v>4.91</v>
      </c>
      <c r="P944" s="47">
        <f>N944-M944</f>
        <v>-1.9500000000000002</v>
      </c>
      <c r="Q944" s="46">
        <f>O944-M944</f>
        <v>1.48</v>
      </c>
      <c r="R944" s="27">
        <f>HYPERLINK("[P Only Old retention.xlsx]'Lake P Results'!Y40", 2.6)</f>
        <v>2.6</v>
      </c>
      <c r="S944" s="27">
        <f>HYPERLINK("[P Only New retention.xlsx]'Lake P Results'!Y40", 2.36)</f>
        <v>2.36</v>
      </c>
      <c r="T944" s="27">
        <f>HYPERLINK("[P Only with New retention and Differentiation.xlsx]'Lake P Results'!Y40", 2.5)</f>
        <v>2.5</v>
      </c>
      <c r="U944" s="47">
        <f>S944-R944</f>
        <v>-0.24000000000000021</v>
      </c>
      <c r="V944" s="47">
        <f>T944-R944</f>
        <v>-0.10000000000000009</v>
      </c>
      <c r="W944" s="18"/>
      <c r="X944" s="18"/>
      <c r="Y944" s="18"/>
      <c r="Z944" s="18"/>
      <c r="AA944" s="18"/>
      <c r="AB944" s="27">
        <f>HYPERLINK("[P Only Old retention.xlsx]'Lake P Results'!Z40", 2.24)</f>
        <v>2.2400000000000002</v>
      </c>
      <c r="AC944" s="27">
        <f>HYPERLINK("[P Only New retention.xlsx]'Lake P Results'!Z40", 4.43)</f>
        <v>4.43</v>
      </c>
      <c r="AD944" s="27">
        <f>HYPERLINK("[P Only with New retention and Differentiation.xlsx]'Lake P Results'!Z40", 0.86)</f>
        <v>0.86</v>
      </c>
      <c r="AE944" s="46">
        <f>AC944-AB944</f>
        <v>2.1899999999999995</v>
      </c>
      <c r="AF944" s="47">
        <f>AD944-AB944</f>
        <v>-1.3800000000000003</v>
      </c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26">
        <f>HYPERLINK("[P Only Old retention.xlsx]'Lake P Results'!AH40", 510)</f>
        <v>510</v>
      </c>
      <c r="AR944" s="26">
        <f>HYPERLINK("[P Only New retention.xlsx]'Lake P Results'!AH40", 510)</f>
        <v>510</v>
      </c>
      <c r="AS944" s="26">
        <f>HYPERLINK("[P Only with New retention and Differentiation.xlsx]'Lake P Results'!AH40", 510)</f>
        <v>510</v>
      </c>
      <c r="AT944" s="18"/>
      <c r="AU944" s="18"/>
      <c r="AV944" s="18"/>
      <c r="AW944" s="18"/>
      <c r="AX944" s="18"/>
      <c r="AY944" s="18"/>
      <c r="AZ944" s="18"/>
      <c r="BA944" s="27">
        <f>HYPERLINK("[P Only Old retention.xlsx]'Lake P Results'!O40", 552.566)</f>
        <v>552.56600000000003</v>
      </c>
      <c r="BB944" s="27">
        <f>HYPERLINK("[P Only New retention.xlsx]'Lake P Results'!O40", 552.566)</f>
        <v>552.56600000000003</v>
      </c>
      <c r="BC944" s="27">
        <f>HYPERLINK("[P Only with New retention and Differentiation.xlsx]'Lake P Results'!O40", 552.566)</f>
        <v>552.56600000000003</v>
      </c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</row>
    <row r="945" spans="1:67" x14ac:dyDescent="0.55000000000000004">
      <c r="A945" s="31">
        <v>139</v>
      </c>
      <c r="B945" s="5" t="s">
        <v>358</v>
      </c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</row>
    <row r="946" spans="1:67" x14ac:dyDescent="0.55000000000000004">
      <c r="A946" s="30">
        <v>140</v>
      </c>
      <c r="B946" s="6" t="s">
        <v>359</v>
      </c>
      <c r="C946" s="18"/>
      <c r="D946" s="18"/>
      <c r="E946" s="18"/>
      <c r="F946" s="18"/>
      <c r="G946" s="18"/>
      <c r="H946" s="26">
        <f>HYPERLINK("[P Only Old retention.xlsx]'Lake P Results'!AM42", 1200)</f>
        <v>1200</v>
      </c>
      <c r="I946" s="26">
        <f>HYPERLINK("[P Only New retention.xlsx]'Lake P Results'!AM42", 1200)</f>
        <v>1200</v>
      </c>
      <c r="J946" s="26">
        <f>HYPERLINK("[P Only with New retention and Differentiation.xlsx]'Lake P Results'!AM42", 1200)</f>
        <v>1200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</row>
    <row r="947" spans="1:67" x14ac:dyDescent="0.55000000000000004">
      <c r="A947" s="31">
        <v>141</v>
      </c>
      <c r="B947" s="5" t="s">
        <v>360</v>
      </c>
      <c r="C947" s="29">
        <f>HYPERLINK("[P Only Old retention.xlsx]'Lake P Results'!AE43", 6.24)</f>
        <v>6.24</v>
      </c>
      <c r="D947" s="29">
        <f>HYPERLINK("[P Only New retention.xlsx]'Lake P Results'!AE43", 6.24)</f>
        <v>6.24</v>
      </c>
      <c r="E947" s="29">
        <f>HYPERLINK("[P Only with New retention and Differentiation.xlsx]'Lake P Results'!AE43", 6.24)</f>
        <v>6.24</v>
      </c>
      <c r="F947" s="13"/>
      <c r="G947" s="13"/>
      <c r="H947" s="28">
        <f>HYPERLINK("[P Only Old retention.xlsx]'Lake P Results'!AM43", 117000)</f>
        <v>117000</v>
      </c>
      <c r="I947" s="28">
        <f>HYPERLINK("[P Only New retention.xlsx]'Lake P Results'!AM43", 114300)</f>
        <v>114300</v>
      </c>
      <c r="J947" s="28">
        <f>HYPERLINK("[P Only with New retention and Differentiation.xlsx]'Lake P Results'!AM43", 114300)</f>
        <v>114300</v>
      </c>
      <c r="K947" s="21">
        <f>I947-H947</f>
        <v>-2700</v>
      </c>
      <c r="L947" s="21">
        <f>J947-H947</f>
        <v>-2700</v>
      </c>
      <c r="M947" s="29">
        <f>HYPERLINK("[P Only Old retention.xlsx]'Lake P Results'!AC43", 4030.19)</f>
        <v>4030.19</v>
      </c>
      <c r="N947" s="29">
        <f>HYPERLINK("[P Only New retention.xlsx]'Lake P Results'!AC43", 4141.914)</f>
        <v>4141.9139999999998</v>
      </c>
      <c r="O947" s="29">
        <f>HYPERLINK("[P Only with New retention and Differentiation.xlsx]'Lake P Results'!AC43", 4058.584)</f>
        <v>4058.5839999999998</v>
      </c>
      <c r="P947" s="46">
        <f>N947-M947</f>
        <v>111.72399999999971</v>
      </c>
      <c r="Q947" s="46">
        <f>O947-M947</f>
        <v>28.393999999999778</v>
      </c>
      <c r="R947" s="29">
        <f>HYPERLINK("[P Only Old retention.xlsx]'Lake P Results'!Y43", 948.102)</f>
        <v>948.10199999999998</v>
      </c>
      <c r="S947" s="29">
        <f>HYPERLINK("[P Only New retention.xlsx]'Lake P Results'!Y43", 811.146)</f>
        <v>811.14599999999996</v>
      </c>
      <c r="T947" s="29">
        <f>HYPERLINK("[P Only with New retention and Differentiation.xlsx]'Lake P Results'!Y43", 703.59)</f>
        <v>703.59</v>
      </c>
      <c r="U947" s="47">
        <f>S947-R947</f>
        <v>-136.95600000000002</v>
      </c>
      <c r="V947" s="47">
        <f>T947-R947</f>
        <v>-244.51199999999994</v>
      </c>
      <c r="W947" s="29">
        <f>HYPERLINK("[P Only Old retention.xlsx]'Lake P Results'!V43", 174.052)</f>
        <v>174.05199999999999</v>
      </c>
      <c r="X947" s="29">
        <f>HYPERLINK("[P Only New retention.xlsx]'Lake P Results'!V43", 164.09)</f>
        <v>164.09</v>
      </c>
      <c r="Y947" s="29">
        <f>HYPERLINK("[P Only with New retention and Differentiation.xlsx]'Lake P Results'!V43", 168.57)</f>
        <v>168.57</v>
      </c>
      <c r="Z947" s="47">
        <f>X947-W947</f>
        <v>-9.9619999999999891</v>
      </c>
      <c r="AA947" s="47">
        <f>Y947-W947</f>
        <v>-5.4819999999999993</v>
      </c>
      <c r="AB947" s="29">
        <f>HYPERLINK("[P Only Old retention.xlsx]'Lake P Results'!Z43", 662.414)</f>
        <v>662.41399999999999</v>
      </c>
      <c r="AC947" s="29">
        <f>HYPERLINK("[P Only New retention.xlsx]'Lake P Results'!Z43", 678.474)</f>
        <v>678.47400000000005</v>
      </c>
      <c r="AD947" s="29">
        <f>HYPERLINK("[P Only with New retention and Differentiation.xlsx]'Lake P Results'!Z43", 868.12)</f>
        <v>868.12</v>
      </c>
      <c r="AE947" s="46">
        <f>AC947-AB947</f>
        <v>16.060000000000059</v>
      </c>
      <c r="AF947" s="46">
        <f>AD947-AB947</f>
        <v>205.70600000000002</v>
      </c>
      <c r="AG947" s="29">
        <f>HYPERLINK("[P Only Old retention.xlsx]'Lake P Results'!AA43", 578.152)</f>
        <v>578.15200000000004</v>
      </c>
      <c r="AH947" s="29">
        <f>HYPERLINK("[P Only New retention.xlsx]'Lake P Results'!AA43", 585.482)</f>
        <v>585.48199999999997</v>
      </c>
      <c r="AI947" s="29">
        <f>HYPERLINK("[P Only with New retention and Differentiation.xlsx]'Lake P Results'!AA43", 582.242)</f>
        <v>582.24199999999996</v>
      </c>
      <c r="AJ947" s="46">
        <f>AH947-AG947</f>
        <v>7.3299999999999272</v>
      </c>
      <c r="AK947" s="46">
        <f>AI947-AG947</f>
        <v>4.0899999999999181</v>
      </c>
      <c r="AL947" s="29">
        <f>HYPERLINK("[P Only Old retention.xlsx]'Lake P Results'!AF43", 0.15)</f>
        <v>0.15</v>
      </c>
      <c r="AM947" s="29">
        <f>HYPERLINK("[P Only New retention.xlsx]'Lake P Results'!AF43", 0.15)</f>
        <v>0.15</v>
      </c>
      <c r="AN947" s="29">
        <f>HYPERLINK("[P Only with New retention and Differentiation.xlsx]'Lake P Results'!AF43", 0.15)</f>
        <v>0.15</v>
      </c>
      <c r="AO947" s="13"/>
      <c r="AP947" s="13"/>
      <c r="AQ947" s="28">
        <f>HYPERLINK("[P Only Old retention.xlsx]'Lake P Results'!AH43", 5650)</f>
        <v>5650</v>
      </c>
      <c r="AR947" s="28">
        <f>HYPERLINK("[P Only New retention.xlsx]'Lake P Results'!AH43", 5650)</f>
        <v>5650</v>
      </c>
      <c r="AS947" s="28">
        <f>HYPERLINK("[P Only with New retention and Differentiation.xlsx]'Lake P Results'!AH43", 5650)</f>
        <v>5650</v>
      </c>
      <c r="AT947" s="13"/>
      <c r="AU947" s="13"/>
      <c r="AV947" s="29">
        <f>HYPERLINK("[P Only Old retention.xlsx]'Lake P Results'!M43", 0.0400000000000003)</f>
        <v>4.0000000000000299E-2</v>
      </c>
      <c r="AW947" s="29">
        <f>HYPERLINK("[P Only New retention.xlsx]'Lake P Results'!M43", 0.0400000000000003)</f>
        <v>4.0000000000000299E-2</v>
      </c>
      <c r="AX947" s="29">
        <f>HYPERLINK("[P Only with New retention and Differentiation.xlsx]'Lake P Results'!M43", 0.0400000000000003)</f>
        <v>4.0000000000000299E-2</v>
      </c>
      <c r="AY947" s="13"/>
      <c r="AZ947" s="13"/>
      <c r="BA947" s="29">
        <f>HYPERLINK("[P Only Old retention.xlsx]'Lake P Results'!O43", 28.914)</f>
        <v>28.914000000000001</v>
      </c>
      <c r="BB947" s="29">
        <f>HYPERLINK("[P Only New retention.xlsx]'Lake P Results'!O43", 28.458)</f>
        <v>28.457999999999998</v>
      </c>
      <c r="BC947" s="29">
        <f>HYPERLINK("[P Only with New retention and Differentiation.xlsx]'Lake P Results'!O43", 28.458)</f>
        <v>28.457999999999998</v>
      </c>
      <c r="BD947" s="47">
        <f>BB947-BA947</f>
        <v>-0.45600000000000307</v>
      </c>
      <c r="BE947" s="47">
        <f>BC947-BA947</f>
        <v>-0.45600000000000307</v>
      </c>
      <c r="BF947" s="13"/>
      <c r="BG947" s="13"/>
      <c r="BH947" s="13"/>
      <c r="BI947" s="13"/>
      <c r="BJ947" s="13"/>
      <c r="BK947" s="29">
        <f>HYPERLINK("[P Only Old retention.xlsx]'Lake P Results'!Q43", 0.044)</f>
        <v>4.3999999999999997E-2</v>
      </c>
      <c r="BL947" s="13"/>
      <c r="BM947" s="13"/>
      <c r="BN947" s="47">
        <f>BL947-BK947</f>
        <v>-4.3999999999999997E-2</v>
      </c>
      <c r="BO947" s="47">
        <f>BM947-BK947</f>
        <v>-4.3999999999999997E-2</v>
      </c>
    </row>
    <row r="948" spans="1:67" x14ac:dyDescent="0.55000000000000004">
      <c r="A948" s="30">
        <v>143</v>
      </c>
      <c r="B948" s="6" t="s">
        <v>361</v>
      </c>
      <c r="C948" s="27">
        <f>HYPERLINK("[P Only Old retention.xlsx]'Lake P Results'!AE44", 0.953999999999999)</f>
        <v>0.95399999999999896</v>
      </c>
      <c r="D948" s="27">
        <f>HYPERLINK("[P Only New retention.xlsx]'Lake P Results'!AE44", 0.953999999999999)</f>
        <v>0.95399999999999896</v>
      </c>
      <c r="E948" s="27">
        <f>HYPERLINK("[P Only with New retention and Differentiation.xlsx]'Lake P Results'!AE44", 0.953999999999999)</f>
        <v>0.95399999999999896</v>
      </c>
      <c r="F948" s="18"/>
      <c r="G948" s="18"/>
      <c r="H948" s="26">
        <f>HYPERLINK("[P Only Old retention.xlsx]'Lake P Results'!AM44", 3700)</f>
        <v>3700</v>
      </c>
      <c r="I948" s="26">
        <f>HYPERLINK("[P Only New retention.xlsx]'Lake P Results'!AM44", 3700)</f>
        <v>3700</v>
      </c>
      <c r="J948" s="26">
        <f>HYPERLINK("[P Only with New retention and Differentiation.xlsx]'Lake P Results'!AM44", 3700)</f>
        <v>3700</v>
      </c>
      <c r="K948" s="18"/>
      <c r="L948" s="18"/>
      <c r="M948" s="27">
        <f>HYPERLINK("[P Only Old retention.xlsx]'Lake P Results'!AC44", 402.93)</f>
        <v>402.93</v>
      </c>
      <c r="N948" s="27">
        <f>HYPERLINK("[P Only New retention.xlsx]'Lake P Results'!AC44", 427.88)</f>
        <v>427.88</v>
      </c>
      <c r="O948" s="27">
        <f>HYPERLINK("[P Only with New retention and Differentiation.xlsx]'Lake P Results'!AC44", 481.1)</f>
        <v>481.1</v>
      </c>
      <c r="P948" s="46">
        <f>N948-M948</f>
        <v>24.949999999999989</v>
      </c>
      <c r="Q948" s="46">
        <f>O948-M948</f>
        <v>78.170000000000016</v>
      </c>
      <c r="R948" s="27">
        <f>HYPERLINK("[P Only Old retention.xlsx]'Lake P Results'!Y44", 99.7)</f>
        <v>99.7</v>
      </c>
      <c r="S948" s="27">
        <f>HYPERLINK("[P Only New retention.xlsx]'Lake P Results'!Y44", 86.34)</f>
        <v>86.34</v>
      </c>
      <c r="T948" s="27">
        <f>HYPERLINK("[P Only with New retention and Differentiation.xlsx]'Lake P Results'!Y44", 60.63)</f>
        <v>60.63</v>
      </c>
      <c r="U948" s="47">
        <f>S948-R948</f>
        <v>-13.36</v>
      </c>
      <c r="V948" s="47">
        <f>T948-R948</f>
        <v>-39.07</v>
      </c>
      <c r="W948" s="18"/>
      <c r="X948" s="27">
        <f>HYPERLINK("[P Only New retention.xlsx]'Lake P Results'!V44", 1.08)</f>
        <v>1.08</v>
      </c>
      <c r="Y948" s="27">
        <f>HYPERLINK("[P Only with New retention and Differentiation.xlsx]'Lake P Results'!V44", 1.08)</f>
        <v>1.08</v>
      </c>
      <c r="Z948" s="46">
        <f>X948-W948</f>
        <v>1.08</v>
      </c>
      <c r="AA948" s="46">
        <f>Y948-W948</f>
        <v>1.08</v>
      </c>
      <c r="AB948" s="27">
        <f>HYPERLINK("[P Only Old retention.xlsx]'Lake P Results'!Z44", 55.28)</f>
        <v>55.28</v>
      </c>
      <c r="AC948" s="27">
        <f>HYPERLINK("[P Only New retention.xlsx]'Lake P Results'!Z44", 60)</f>
        <v>60</v>
      </c>
      <c r="AD948" s="27">
        <f>HYPERLINK("[P Only with New retention and Differentiation.xlsx]'Lake P Results'!Z44", 32.49)</f>
        <v>32.49</v>
      </c>
      <c r="AE948" s="46">
        <f>AC948-AB948</f>
        <v>4.7199999999999989</v>
      </c>
      <c r="AF948" s="47">
        <f>AD948-AB948</f>
        <v>-22.79</v>
      </c>
      <c r="AG948" s="27">
        <f>HYPERLINK("[P Only Old retention.xlsx]'Lake P Results'!AA44", 103.788)</f>
        <v>103.788</v>
      </c>
      <c r="AH948" s="27">
        <f>HYPERLINK("[P Only New retention.xlsx]'Lake P Results'!AA44", 102.62)</f>
        <v>102.62</v>
      </c>
      <c r="AI948" s="27">
        <f>HYPERLINK("[P Only with New retention and Differentiation.xlsx]'Lake P Results'!AA44", 103.788)</f>
        <v>103.788</v>
      </c>
      <c r="AJ948" s="47">
        <f>AH948-AG948</f>
        <v>-1.1679999999999922</v>
      </c>
      <c r="AK948" s="18"/>
      <c r="AL948" s="18"/>
      <c r="AM948" s="18"/>
      <c r="AN948" s="18"/>
      <c r="AO948" s="18"/>
      <c r="AP948" s="18"/>
      <c r="AQ948" s="26">
        <f>HYPERLINK("[P Only Old retention.xlsx]'Lake P Results'!AH44", 600)</f>
        <v>600</v>
      </c>
      <c r="AR948" s="26">
        <f>HYPERLINK("[P Only New retention.xlsx]'Lake P Results'!AH44", 600)</f>
        <v>600</v>
      </c>
      <c r="AS948" s="26">
        <f>HYPERLINK("[P Only with New retention and Differentiation.xlsx]'Lake P Results'!AH44", 600)</f>
        <v>600</v>
      </c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</row>
    <row r="949" spans="1:67" x14ac:dyDescent="0.55000000000000004">
      <c r="A949" s="31">
        <v>146</v>
      </c>
      <c r="B949" s="5" t="s">
        <v>362</v>
      </c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</row>
    <row r="950" spans="1:67" x14ac:dyDescent="0.55000000000000004">
      <c r="A950" s="30">
        <v>147</v>
      </c>
      <c r="B950" s="6" t="s">
        <v>363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</row>
    <row r="951" spans="1:67" x14ac:dyDescent="0.55000000000000004">
      <c r="A951" s="31">
        <v>148</v>
      </c>
      <c r="B951" s="5" t="s">
        <v>364</v>
      </c>
      <c r="C951" s="29">
        <f>HYPERLINK("[P Only Old retention.xlsx]'Lake P Results'!AE47", 8.45000000000001)</f>
        <v>8.4500000000000099</v>
      </c>
      <c r="D951" s="29">
        <f>HYPERLINK("[P Only New retention.xlsx]'Lake P Results'!AE47", 8.45000000000001)</f>
        <v>8.4500000000000099</v>
      </c>
      <c r="E951" s="29">
        <f>HYPERLINK("[P Only with New retention and Differentiation.xlsx]'Lake P Results'!AE47", 8.45000000000001)</f>
        <v>8.4500000000000099</v>
      </c>
      <c r="F951" s="13"/>
      <c r="G951" s="13"/>
      <c r="H951" s="28">
        <f>HYPERLINK("[P Only Old retention.xlsx]'Lake P Results'!AM47", 8500)</f>
        <v>8500</v>
      </c>
      <c r="I951" s="28">
        <f>HYPERLINK("[P Only New retention.xlsx]'Lake P Results'!AM47", 8500)</f>
        <v>8500</v>
      </c>
      <c r="J951" s="28">
        <f>HYPERLINK("[P Only with New retention and Differentiation.xlsx]'Lake P Results'!AM47", 8500)</f>
        <v>8500</v>
      </c>
      <c r="K951" s="13"/>
      <c r="L951" s="13"/>
      <c r="M951" s="13"/>
      <c r="N951" s="29">
        <f>HYPERLINK("[P Only New retention.xlsx]'Lake P Results'!AC47", 0.408)</f>
        <v>0.40799999999999997</v>
      </c>
      <c r="O951" s="13"/>
      <c r="P951" s="46">
        <f>N951-M951</f>
        <v>0.40799999999999997</v>
      </c>
      <c r="Q951" s="13"/>
      <c r="R951" s="29">
        <f>HYPERLINK("[P Only Old retention.xlsx]'Lake P Results'!Y47", 0.408)</f>
        <v>0.40799999999999997</v>
      </c>
      <c r="S951" s="13"/>
      <c r="T951" s="29">
        <f>HYPERLINK("[P Only with New retention and Differentiation.xlsx]'Lake P Results'!Y47", 0.408)</f>
        <v>0.40799999999999997</v>
      </c>
      <c r="U951" s="47">
        <f>S951-R951</f>
        <v>-0.40799999999999997</v>
      </c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29">
        <f>HYPERLINK("[P Only Old retention.xlsx]'Lake P Results'!AA47", 1.18)</f>
        <v>1.18</v>
      </c>
      <c r="AH951" s="29">
        <f>HYPERLINK("[P Only New retention.xlsx]'Lake P Results'!AA47", 1.18)</f>
        <v>1.18</v>
      </c>
      <c r="AI951" s="29">
        <f>HYPERLINK("[P Only with New retention and Differentiation.xlsx]'Lake P Results'!AA47", 1.18)</f>
        <v>1.18</v>
      </c>
      <c r="AJ951" s="13"/>
      <c r="AK951" s="13"/>
      <c r="AL951" s="13"/>
      <c r="AM951" s="13"/>
      <c r="AN951" s="13"/>
      <c r="AO951" s="13"/>
      <c r="AP951" s="13"/>
      <c r="AQ951" s="28">
        <f>HYPERLINK("[P Only Old retention.xlsx]'Lake P Results'!AH47", 50)</f>
        <v>50</v>
      </c>
      <c r="AR951" s="28">
        <f>HYPERLINK("[P Only New retention.xlsx]'Lake P Results'!AH47", 50)</f>
        <v>50</v>
      </c>
      <c r="AS951" s="28">
        <f>HYPERLINK("[P Only with New retention and Differentiation.xlsx]'Lake P Results'!AH47", 50)</f>
        <v>50</v>
      </c>
      <c r="AT951" s="13"/>
      <c r="AU951" s="13"/>
      <c r="AV951" s="13"/>
      <c r="AW951" s="13"/>
      <c r="AX951" s="13"/>
      <c r="AY951" s="13"/>
      <c r="AZ951" s="13"/>
      <c r="BA951" s="29">
        <f>HYPERLINK("[P Only Old retention.xlsx]'Lake P Results'!O47", 40.54)</f>
        <v>40.54</v>
      </c>
      <c r="BB951" s="29">
        <f>HYPERLINK("[P Only New retention.xlsx]'Lake P Results'!O47", 40.54)</f>
        <v>40.54</v>
      </c>
      <c r="BC951" s="29">
        <f>HYPERLINK("[P Only with New retention and Differentiation.xlsx]'Lake P Results'!O47", 40.54)</f>
        <v>40.54</v>
      </c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</row>
    <row r="952" spans="1:67" x14ac:dyDescent="0.55000000000000004">
      <c r="A952" s="30">
        <v>149</v>
      </c>
      <c r="B952" s="6" t="s">
        <v>365</v>
      </c>
      <c r="C952" s="27">
        <f>HYPERLINK("[P Only Old retention.xlsx]'Lake P Results'!AE48", 13.8)</f>
        <v>13.8</v>
      </c>
      <c r="D952" s="27">
        <f>HYPERLINK("[P Only New retention.xlsx]'Lake P Results'!AE48", 13.8)</f>
        <v>13.8</v>
      </c>
      <c r="E952" s="27">
        <f>HYPERLINK("[P Only with New retention and Differentiation.xlsx]'Lake P Results'!AE48", 13.8)</f>
        <v>13.8</v>
      </c>
      <c r="F952" s="18"/>
      <c r="G952" s="18"/>
      <c r="H952" s="26">
        <f>HYPERLINK("[P Only Old retention.xlsx]'Lake P Results'!AM48", 50600)</f>
        <v>50600</v>
      </c>
      <c r="I952" s="26">
        <f>HYPERLINK("[P Only New retention.xlsx]'Lake P Results'!AM48", 50600)</f>
        <v>50600</v>
      </c>
      <c r="J952" s="26">
        <f>HYPERLINK("[P Only with New retention and Differentiation.xlsx]'Lake P Results'!AM48", 50600)</f>
        <v>50600</v>
      </c>
      <c r="K952" s="18"/>
      <c r="L952" s="18"/>
      <c r="M952" s="27">
        <f>HYPERLINK("[P Only Old retention.xlsx]'Lake P Results'!AC48", 23.66)</f>
        <v>23.66</v>
      </c>
      <c r="N952" s="27">
        <f>HYPERLINK("[P Only New retention.xlsx]'Lake P Results'!AC48", 13.6)</f>
        <v>13.6</v>
      </c>
      <c r="O952" s="27">
        <f>HYPERLINK("[P Only with New retention and Differentiation.xlsx]'Lake P Results'!AC48", 2.33)</f>
        <v>2.33</v>
      </c>
      <c r="P952" s="47">
        <f>N952-M952</f>
        <v>-10.06</v>
      </c>
      <c r="Q952" s="47">
        <f>O952-M952</f>
        <v>-21.33</v>
      </c>
      <c r="R952" s="27">
        <f>HYPERLINK("[P Only Old retention.xlsx]'Lake P Results'!Y48", 39.89)</f>
        <v>39.89</v>
      </c>
      <c r="S952" s="27">
        <f>HYPERLINK("[P Only New retention.xlsx]'Lake P Results'!Y48", 65.41)</f>
        <v>65.41</v>
      </c>
      <c r="T952" s="27">
        <f>HYPERLINK("[P Only with New retention and Differentiation.xlsx]'Lake P Results'!Y48", 33.22)</f>
        <v>33.22</v>
      </c>
      <c r="U952" s="46">
        <f>S952-R952</f>
        <v>25.519999999999996</v>
      </c>
      <c r="V952" s="47">
        <f>T952-R952</f>
        <v>-6.6700000000000017</v>
      </c>
      <c r="W952" s="27">
        <f>HYPERLINK("[P Only Old retention.xlsx]'Lake P Results'!V48", 35.48)</f>
        <v>35.479999999999997</v>
      </c>
      <c r="X952" s="27">
        <f>HYPERLINK("[P Only New retention.xlsx]'Lake P Results'!V48", 35.48)</f>
        <v>35.479999999999997</v>
      </c>
      <c r="Y952" s="27">
        <f>HYPERLINK("[P Only with New retention and Differentiation.xlsx]'Lake P Results'!V48", 35.48)</f>
        <v>35.479999999999997</v>
      </c>
      <c r="Z952" s="18"/>
      <c r="AA952" s="18"/>
      <c r="AB952" s="27">
        <f>HYPERLINK("[P Only Old retention.xlsx]'Lake P Results'!Z48", 31)</f>
        <v>31</v>
      </c>
      <c r="AC952" s="27">
        <f>HYPERLINK("[P Only New retention.xlsx]'Lake P Results'!Z48", 15.54)</f>
        <v>15.54</v>
      </c>
      <c r="AD952" s="27">
        <f>HYPERLINK("[P Only with New retention and Differentiation.xlsx]'Lake P Results'!Z48", 59)</f>
        <v>59</v>
      </c>
      <c r="AE952" s="47">
        <f>AC952-AB952</f>
        <v>-15.46</v>
      </c>
      <c r="AF952" s="46">
        <f>AD952-AB952</f>
        <v>28</v>
      </c>
      <c r="AG952" s="27">
        <f>HYPERLINK("[P Only Old retention.xlsx]'Lake P Results'!AA48", 3.18)</f>
        <v>3.18</v>
      </c>
      <c r="AH952" s="27">
        <f>HYPERLINK("[P Only New retention.xlsx]'Lake P Results'!AA48", 3.18)</f>
        <v>3.18</v>
      </c>
      <c r="AI952" s="27">
        <f>HYPERLINK("[P Only with New retention and Differentiation.xlsx]'Lake P Results'!AA48", 3.18)</f>
        <v>3.18</v>
      </c>
      <c r="AJ952" s="18"/>
      <c r="AK952" s="18"/>
      <c r="AL952" s="27">
        <f>HYPERLINK("[P Only Old retention.xlsx]'Lake P Results'!AF48", 0.22)</f>
        <v>0.22</v>
      </c>
      <c r="AM952" s="27">
        <f>HYPERLINK("[P Only New retention.xlsx]'Lake P Results'!AF48", 0.22)</f>
        <v>0.22</v>
      </c>
      <c r="AN952" s="27">
        <f>HYPERLINK("[P Only with New retention and Differentiation.xlsx]'Lake P Results'!AF48", 0.22)</f>
        <v>0.22</v>
      </c>
      <c r="AO952" s="18"/>
      <c r="AP952" s="18"/>
      <c r="AQ952" s="26">
        <f>HYPERLINK("[P Only Old retention.xlsx]'Lake P Results'!AH48", 2179.99999999981)</f>
        <v>2179.9999999998099</v>
      </c>
      <c r="AR952" s="26">
        <f>HYPERLINK("[P Only New retention.xlsx]'Lake P Results'!AH48", 2179.99999999981)</f>
        <v>2179.9999999998099</v>
      </c>
      <c r="AS952" s="26">
        <f>HYPERLINK("[P Only with New retention and Differentiation.xlsx]'Lake P Results'!AH48", 2179.99999999981)</f>
        <v>2179.9999999998099</v>
      </c>
      <c r="AT952" s="18"/>
      <c r="AU952" s="18"/>
      <c r="AV952" s="27">
        <f>HYPERLINK("[P Only Old retention.xlsx]'Lake P Results'!M48", 82.71)</f>
        <v>82.71</v>
      </c>
      <c r="AW952" s="27">
        <f>HYPERLINK("[P Only New retention.xlsx]'Lake P Results'!M48", 82.71)</f>
        <v>82.71</v>
      </c>
      <c r="AX952" s="27">
        <f>HYPERLINK("[P Only with New retention and Differentiation.xlsx]'Lake P Results'!M48", 82.71)</f>
        <v>82.71</v>
      </c>
      <c r="AY952" s="18"/>
      <c r="AZ952" s="18"/>
      <c r="BA952" s="27">
        <f>HYPERLINK("[P Only Old retention.xlsx]'Lake P Results'!O48", 2615.77)</f>
        <v>2615.77</v>
      </c>
      <c r="BB952" s="27">
        <f>HYPERLINK("[P Only New retention.xlsx]'Lake P Results'!O48", 2615.77)</f>
        <v>2615.77</v>
      </c>
      <c r="BC952" s="27">
        <f>HYPERLINK("[P Only with New retention and Differentiation.xlsx]'Lake P Results'!O48", 2615.77)</f>
        <v>2615.77</v>
      </c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</row>
    <row r="953" spans="1:67" x14ac:dyDescent="0.55000000000000004">
      <c r="A953" s="31">
        <v>156</v>
      </c>
      <c r="B953" s="5" t="s">
        <v>366</v>
      </c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</row>
    <row r="954" spans="1:67" x14ac:dyDescent="0.55000000000000004">
      <c r="A954" s="30">
        <v>157</v>
      </c>
      <c r="B954" s="6" t="s">
        <v>367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</row>
    <row r="955" spans="1:67" x14ac:dyDescent="0.55000000000000004">
      <c r="A955" s="31">
        <v>159</v>
      </c>
      <c r="B955" s="5" t="s">
        <v>368</v>
      </c>
      <c r="C955" s="13"/>
      <c r="D955" s="13"/>
      <c r="E955" s="13"/>
      <c r="F955" s="13"/>
      <c r="G955" s="13"/>
      <c r="H955" s="28">
        <f>HYPERLINK("[P Only Old retention.xlsx]'Lake P Results'!AM51", 500)</f>
        <v>500</v>
      </c>
      <c r="I955" s="28">
        <f>HYPERLINK("[P Only New retention.xlsx]'Lake P Results'!AM51", 500)</f>
        <v>500</v>
      </c>
      <c r="J955" s="28">
        <f>HYPERLINK("[P Only with New retention and Differentiation.xlsx]'Lake P Results'!AM51", 500)</f>
        <v>500</v>
      </c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29">
        <f>HYPERLINK("[P Only Old retention.xlsx]'Lake P Results'!M51", 19.71)</f>
        <v>19.71</v>
      </c>
      <c r="AW955" s="29">
        <f>HYPERLINK("[P Only New retention.xlsx]'Lake P Results'!M51", 19.71)</f>
        <v>19.71</v>
      </c>
      <c r="AX955" s="29">
        <f>HYPERLINK("[P Only with New retention and Differentiation.xlsx]'Lake P Results'!M51", 19.71)</f>
        <v>19.71</v>
      </c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</row>
    <row r="956" spans="1:67" x14ac:dyDescent="0.55000000000000004">
      <c r="A956" s="30">
        <v>166</v>
      </c>
      <c r="B956" s="6" t="s">
        <v>369</v>
      </c>
      <c r="C956" s="27">
        <f>HYPERLINK("[P Only Old retention.xlsx]'Lake P Results'!AE52", 7.52000000000001)</f>
        <v>7.5200000000000102</v>
      </c>
      <c r="D956" s="27">
        <f>HYPERLINK("[P Only New retention.xlsx]'Lake P Results'!AE52", 7.52000000000001)</f>
        <v>7.5200000000000102</v>
      </c>
      <c r="E956" s="27">
        <f>HYPERLINK("[P Only with New retention and Differentiation.xlsx]'Lake P Results'!AE52", 7.52000000000001)</f>
        <v>7.5200000000000102</v>
      </c>
      <c r="F956" s="18"/>
      <c r="G956" s="18"/>
      <c r="H956" s="26">
        <f>HYPERLINK("[P Only Old retention.xlsx]'Lake P Results'!AM52", 20200)</f>
        <v>20200</v>
      </c>
      <c r="I956" s="26">
        <f>HYPERLINK("[P Only New retention.xlsx]'Lake P Results'!AM52", 20000)</f>
        <v>20000</v>
      </c>
      <c r="J956" s="26">
        <f>HYPERLINK("[P Only with New retention and Differentiation.xlsx]'Lake P Results'!AM52", 20100)</f>
        <v>20100</v>
      </c>
      <c r="K956" s="21">
        <f>I956-H956</f>
        <v>-200</v>
      </c>
      <c r="L956" s="21">
        <f>J956-H956</f>
        <v>-100</v>
      </c>
      <c r="M956" s="27">
        <f>HYPERLINK("[P Only Old retention.xlsx]'Lake P Results'!AC52", 674.14)</f>
        <v>674.14</v>
      </c>
      <c r="N956" s="27">
        <f>HYPERLINK("[P Only New retention.xlsx]'Lake P Results'!AC52", 663.57)</f>
        <v>663.57</v>
      </c>
      <c r="O956" s="27">
        <f>HYPERLINK("[P Only with New retention and Differentiation.xlsx]'Lake P Results'!AC52", 685.462)</f>
        <v>685.46199999999999</v>
      </c>
      <c r="P956" s="47">
        <f>N956-M956</f>
        <v>-10.569999999999936</v>
      </c>
      <c r="Q956" s="46">
        <f>O956-M956</f>
        <v>11.322000000000003</v>
      </c>
      <c r="R956" s="27">
        <f>HYPERLINK("[P Only Old retention.xlsx]'Lake P Results'!Y52", 66.994)</f>
        <v>66.994</v>
      </c>
      <c r="S956" s="27">
        <f>HYPERLINK("[P Only New retention.xlsx]'Lake P Results'!Y52", 128.672)</f>
        <v>128.672</v>
      </c>
      <c r="T956" s="27">
        <f>HYPERLINK("[P Only with New retention and Differentiation.xlsx]'Lake P Results'!Y52", 102.57)</f>
        <v>102.57</v>
      </c>
      <c r="U956" s="46">
        <f>S956-R956</f>
        <v>61.677999999999997</v>
      </c>
      <c r="V956" s="46">
        <f>T956-R956</f>
        <v>35.575999999999993</v>
      </c>
      <c r="W956" s="18"/>
      <c r="X956" s="18"/>
      <c r="Y956" s="18"/>
      <c r="Z956" s="18"/>
      <c r="AA956" s="18"/>
      <c r="AB956" s="27">
        <f>HYPERLINK("[P Only Old retention.xlsx]'Lake P Results'!Z52", 115.912)</f>
        <v>115.91200000000001</v>
      </c>
      <c r="AC956" s="27">
        <f>HYPERLINK("[P Only New retention.xlsx]'Lake P Results'!Z52", 71.924)</f>
        <v>71.924000000000007</v>
      </c>
      <c r="AD956" s="27">
        <f>HYPERLINK("[P Only with New retention and Differentiation.xlsx]'Lake P Results'!Z52", 81.124)</f>
        <v>81.123999999999995</v>
      </c>
      <c r="AE956" s="47">
        <f>AC956-AB956</f>
        <v>-43.988</v>
      </c>
      <c r="AF956" s="47">
        <f>AD956-AB956</f>
        <v>-34.788000000000011</v>
      </c>
      <c r="AG956" s="27">
        <f>HYPERLINK("[P Only Old retention.xlsx]'Lake P Results'!AA52", 40.73)</f>
        <v>40.729999999999997</v>
      </c>
      <c r="AH956" s="27">
        <f>HYPERLINK("[P Only New retention.xlsx]'Lake P Results'!AA52", 34.13)</f>
        <v>34.130000000000003</v>
      </c>
      <c r="AI956" s="27">
        <f>HYPERLINK("[P Only with New retention and Differentiation.xlsx]'Lake P Results'!AA52", 34.13)</f>
        <v>34.130000000000003</v>
      </c>
      <c r="AJ956" s="47">
        <f>AH956-AG956</f>
        <v>-6.5999999999999943</v>
      </c>
      <c r="AK956" s="47">
        <f>AI956-AG956</f>
        <v>-6.5999999999999943</v>
      </c>
      <c r="AL956" s="18"/>
      <c r="AM956" s="18"/>
      <c r="AN956" s="18"/>
      <c r="AO956" s="18"/>
      <c r="AP956" s="18"/>
      <c r="AQ956" s="26">
        <f>HYPERLINK("[P Only Old retention.xlsx]'Lake P Results'!AH52", 599.999999980184)</f>
        <v>599.99999998018404</v>
      </c>
      <c r="AR956" s="26">
        <f>HYPERLINK("[P Only New retention.xlsx]'Lake P Results'!AH52", 600)</f>
        <v>600</v>
      </c>
      <c r="AS956" s="26">
        <f>HYPERLINK("[P Only with New retention and Differentiation.xlsx]'Lake P Results'!AH52", 600)</f>
        <v>600</v>
      </c>
      <c r="AT956" s="16">
        <f>AR956-AQ956</f>
        <v>1.9815956875390839E-8</v>
      </c>
      <c r="AU956" s="16">
        <f>AS956-AQ956</f>
        <v>1.9815956875390839E-8</v>
      </c>
      <c r="AV956" s="27">
        <f>HYPERLINK("[P Only Old retention.xlsx]'Lake P Results'!M52", 31.09)</f>
        <v>31.09</v>
      </c>
      <c r="AW956" s="27">
        <f>HYPERLINK("[P Only New retention.xlsx]'Lake P Results'!M52", 22.57)</f>
        <v>22.57</v>
      </c>
      <c r="AX956" s="27">
        <f>HYPERLINK("[P Only with New retention and Differentiation.xlsx]'Lake P Results'!M52", 32.37)</f>
        <v>32.369999999999997</v>
      </c>
      <c r="AY956" s="47">
        <f>AW956-AV956</f>
        <v>-8.52</v>
      </c>
      <c r="AZ956" s="46">
        <f>AX956-AV956</f>
        <v>1.2799999999999976</v>
      </c>
      <c r="BA956" s="27">
        <f>HYPERLINK("[P Only Old retention.xlsx]'Lake P Results'!O52", 9.804)</f>
        <v>9.8040000000000003</v>
      </c>
      <c r="BB956" s="27">
        <f>HYPERLINK("[P Only New retention.xlsx]'Lake P Results'!O52", 0.004)</f>
        <v>4.0000000000000001E-3</v>
      </c>
      <c r="BC956" s="27">
        <f>HYPERLINK("[P Only with New retention and Differentiation.xlsx]'Lake P Results'!O52", 0.004)</f>
        <v>4.0000000000000001E-3</v>
      </c>
      <c r="BD956" s="47">
        <f>BB956-BA956</f>
        <v>-9.8000000000000007</v>
      </c>
      <c r="BE956" s="47">
        <f>BC956-BA956</f>
        <v>-9.8000000000000007</v>
      </c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</row>
    <row r="957" spans="1:67" x14ac:dyDescent="0.55000000000000004">
      <c r="A957" s="31">
        <v>167</v>
      </c>
      <c r="B957" s="5" t="s">
        <v>370</v>
      </c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</row>
    <row r="958" spans="1:67" x14ac:dyDescent="0.55000000000000004">
      <c r="A958" s="30">
        <v>169</v>
      </c>
      <c r="B958" s="6" t="s">
        <v>371</v>
      </c>
      <c r="C958" s="27">
        <f>HYPERLINK("[P Only Old retention.xlsx]'Lake P Results'!AE54", 0.23)</f>
        <v>0.23</v>
      </c>
      <c r="D958" s="27">
        <f>HYPERLINK("[P Only New retention.xlsx]'Lake P Results'!AE54", 0.23)</f>
        <v>0.23</v>
      </c>
      <c r="E958" s="27">
        <f>HYPERLINK("[P Only with New retention and Differentiation.xlsx]'Lake P Results'!AE54", 0.23)</f>
        <v>0.23</v>
      </c>
      <c r="F958" s="18"/>
      <c r="G958" s="18"/>
      <c r="H958" s="26">
        <f>HYPERLINK("[P Only Old retention.xlsx]'Lake P Results'!AM54", 2500)</f>
        <v>2500</v>
      </c>
      <c r="I958" s="26">
        <f>HYPERLINK("[P Only New retention.xlsx]'Lake P Results'!AM54", 1900)</f>
        <v>1900</v>
      </c>
      <c r="J958" s="26">
        <f>HYPERLINK("[P Only with New retention and Differentiation.xlsx]'Lake P Results'!AM54", 2600)</f>
        <v>2600</v>
      </c>
      <c r="K958" s="21">
        <f>I958-H958</f>
        <v>-600</v>
      </c>
      <c r="L958" s="16">
        <f>J958-H958</f>
        <v>100</v>
      </c>
      <c r="M958" s="27">
        <f>HYPERLINK("[P Only Old retention.xlsx]'Lake P Results'!AC54", 346.834)</f>
        <v>346.834</v>
      </c>
      <c r="N958" s="27">
        <f>HYPERLINK("[P Only New retention.xlsx]'Lake P Results'!AC54", 342.976)</f>
        <v>342.976</v>
      </c>
      <c r="O958" s="27">
        <f>HYPERLINK("[P Only with New retention and Differentiation.xlsx]'Lake P Results'!AC54", 445.438)</f>
        <v>445.43799999999999</v>
      </c>
      <c r="P958" s="47">
        <f>N958-M958</f>
        <v>-3.8580000000000041</v>
      </c>
      <c r="Q958" s="46">
        <f>O958-M958</f>
        <v>98.603999999999985</v>
      </c>
      <c r="R958" s="27">
        <f>HYPERLINK("[P Only Old retention.xlsx]'Lake P Results'!Y54", 124.41)</f>
        <v>124.41</v>
      </c>
      <c r="S958" s="27">
        <f>HYPERLINK("[P Only New retention.xlsx]'Lake P Results'!Y54", 177.502)</f>
        <v>177.50200000000001</v>
      </c>
      <c r="T958" s="27">
        <f>HYPERLINK("[P Only with New retention and Differentiation.xlsx]'Lake P Results'!Y54", 90.934)</f>
        <v>90.933999999999997</v>
      </c>
      <c r="U958" s="46">
        <f>S958-R958</f>
        <v>53.092000000000013</v>
      </c>
      <c r="V958" s="47">
        <f>T958-R958</f>
        <v>-33.475999999999999</v>
      </c>
      <c r="W958" s="27">
        <f>HYPERLINK("[P Only Old retention.xlsx]'Lake P Results'!V54", 0.636)</f>
        <v>0.63600000000000001</v>
      </c>
      <c r="X958" s="18"/>
      <c r="Y958" s="27">
        <f>HYPERLINK("[P Only with New retention and Differentiation.xlsx]'Lake P Results'!V54", 0.636)</f>
        <v>0.63600000000000001</v>
      </c>
      <c r="Z958" s="47">
        <f>X958-W958</f>
        <v>-0.63600000000000001</v>
      </c>
      <c r="AA958" s="18"/>
      <c r="AB958" s="27">
        <f>HYPERLINK("[P Only Old retention.xlsx]'Lake P Results'!Z54", 31.92)</f>
        <v>31.92</v>
      </c>
      <c r="AC958" s="27">
        <f>HYPERLINK("[P Only New retention.xlsx]'Lake P Results'!Z54", 2.064)</f>
        <v>2.0640000000000001</v>
      </c>
      <c r="AD958" s="27">
        <f>HYPERLINK("[P Only with New retention and Differentiation.xlsx]'Lake P Results'!Z54", 10.03)</f>
        <v>10.029999999999999</v>
      </c>
      <c r="AE958" s="47">
        <f>AC958-AB958</f>
        <v>-29.856000000000002</v>
      </c>
      <c r="AF958" s="47">
        <f>AD958-AB958</f>
        <v>-21.89</v>
      </c>
      <c r="AG958" s="27">
        <f>HYPERLINK("[P Only Old retention.xlsx]'Lake P Results'!AA54", 42.23)</f>
        <v>42.23</v>
      </c>
      <c r="AH958" s="27">
        <f>HYPERLINK("[P Only New retention.xlsx]'Lake P Results'!AA54", 42.23)</f>
        <v>42.23</v>
      </c>
      <c r="AI958" s="27">
        <f>HYPERLINK("[P Only with New retention and Differentiation.xlsx]'Lake P Results'!AA54", 42.23)</f>
        <v>42.23</v>
      </c>
      <c r="AJ958" s="18"/>
      <c r="AK958" s="18"/>
      <c r="AL958" s="18"/>
      <c r="AM958" s="18"/>
      <c r="AN958" s="18"/>
      <c r="AO958" s="18"/>
      <c r="AP958" s="18"/>
      <c r="AQ958" s="26">
        <f>HYPERLINK("[P Only Old retention.xlsx]'Lake P Results'!AH54", 100)</f>
        <v>100</v>
      </c>
      <c r="AR958" s="26">
        <f>HYPERLINK("[P Only New retention.xlsx]'Lake P Results'!AH54", 100)</f>
        <v>100</v>
      </c>
      <c r="AS958" s="26">
        <f>HYPERLINK("[P Only with New retention and Differentiation.xlsx]'Lake P Results'!AH54", 100)</f>
        <v>100</v>
      </c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</row>
    <row r="959" spans="1:67" x14ac:dyDescent="0.55000000000000004">
      <c r="A959" s="31">
        <v>172</v>
      </c>
      <c r="B959" s="5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</row>
    <row r="960" spans="1:67" x14ac:dyDescent="0.55000000000000004">
      <c r="A960" s="30">
        <v>179</v>
      </c>
      <c r="B960" s="6" t="s">
        <v>372</v>
      </c>
      <c r="C960" s="18"/>
      <c r="D960" s="18"/>
      <c r="E960" s="18"/>
      <c r="F960" s="18"/>
      <c r="G960" s="18"/>
      <c r="H960" s="26">
        <f>HYPERLINK("[P Only Old retention.xlsx]'Lake P Results'!AM56", 300)</f>
        <v>300</v>
      </c>
      <c r="I960" s="26">
        <f>HYPERLINK("[P Only New retention.xlsx]'Lake P Results'!AM56", 300)</f>
        <v>300</v>
      </c>
      <c r="J960" s="26">
        <f>HYPERLINK("[P Only with New retention and Differentiation.xlsx]'Lake P Results'!AM56", 300)</f>
        <v>300</v>
      </c>
      <c r="K960" s="18"/>
      <c r="L960" s="18"/>
      <c r="M960" s="27">
        <f>HYPERLINK("[P Only Old retention.xlsx]'Lake P Results'!AC56", 0.792)</f>
        <v>0.79200000000000004</v>
      </c>
      <c r="N960" s="18"/>
      <c r="O960" s="18"/>
      <c r="P960" s="47">
        <f>N960-M960</f>
        <v>-0.79200000000000004</v>
      </c>
      <c r="Q960" s="47">
        <f>O960-M960</f>
        <v>-0.79200000000000004</v>
      </c>
      <c r="R960" s="27">
        <f>HYPERLINK("[P Only Old retention.xlsx]'Lake P Results'!Y56", 0.26)</f>
        <v>0.26</v>
      </c>
      <c r="S960" s="27">
        <f>HYPERLINK("[P Only New retention.xlsx]'Lake P Results'!Y56", 0.26)</f>
        <v>0.26</v>
      </c>
      <c r="T960" s="18"/>
      <c r="U960" s="18"/>
      <c r="V960" s="47">
        <f>T960-R960</f>
        <v>-0.26</v>
      </c>
      <c r="W960" s="18"/>
      <c r="X960" s="18"/>
      <c r="Y960" s="18"/>
      <c r="Z960" s="18"/>
      <c r="AA960" s="18"/>
      <c r="AB960" s="18"/>
      <c r="AC960" s="18"/>
      <c r="AD960" s="27">
        <f>HYPERLINK("[P Only with New retention and Differentiation.xlsx]'Lake P Results'!Z56", 0.26)</f>
        <v>0.26</v>
      </c>
      <c r="AE960" s="18"/>
      <c r="AF960" s="46">
        <f>AD960-AB960</f>
        <v>0.26</v>
      </c>
      <c r="AG960" s="27">
        <f>HYPERLINK("[P Only Old retention.xlsx]'Lake P Results'!AA56", 0.96)</f>
        <v>0.96</v>
      </c>
      <c r="AH960" s="27">
        <f>HYPERLINK("[P Only New retention.xlsx]'Lake P Results'!AA56", 0.96)</f>
        <v>0.96</v>
      </c>
      <c r="AI960" s="27">
        <f>HYPERLINK("[P Only with New retention and Differentiation.xlsx]'Lake P Results'!AA56", 0.96)</f>
        <v>0.96</v>
      </c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</row>
    <row r="961" spans="1:67" x14ac:dyDescent="0.55000000000000004">
      <c r="A961" s="31">
        <v>180</v>
      </c>
      <c r="B961" s="5" t="s">
        <v>373</v>
      </c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29">
        <f>HYPERLINK("[P Only Old retention.xlsx]'Lake P Results'!AC57", 3.84)</f>
        <v>3.84</v>
      </c>
      <c r="N961" s="29">
        <f>HYPERLINK("[P Only New retention.xlsx]'Lake P Results'!AC57", 2.68)</f>
        <v>2.68</v>
      </c>
      <c r="O961" s="29">
        <f>HYPERLINK("[P Only with New retention and Differentiation.xlsx]'Lake P Results'!AC57", 3.84)</f>
        <v>3.84</v>
      </c>
      <c r="P961" s="47">
        <f>N961-M961</f>
        <v>-1.1599999999999997</v>
      </c>
      <c r="Q961" s="13"/>
      <c r="R961" s="29">
        <f>HYPERLINK("[P Only Old retention.xlsx]'Lake P Results'!Y57", 5.04)</f>
        <v>5.04</v>
      </c>
      <c r="S961" s="29">
        <f>HYPERLINK("[P Only New retention.xlsx]'Lake P Results'!Y57", 5.04)</f>
        <v>5.04</v>
      </c>
      <c r="T961" s="29">
        <f>HYPERLINK("[P Only with New retention and Differentiation.xlsx]'Lake P Results'!Y57", 2.64)</f>
        <v>2.64</v>
      </c>
      <c r="U961" s="13"/>
      <c r="V961" s="47">
        <f>T961-R961</f>
        <v>-2.4</v>
      </c>
      <c r="W961" s="13"/>
      <c r="X961" s="13"/>
      <c r="Y961" s="13"/>
      <c r="Z961" s="13"/>
      <c r="AA961" s="13"/>
      <c r="AB961" s="29">
        <f>HYPERLINK("[P Only Old retention.xlsx]'Lake P Results'!Z57", 2.68)</f>
        <v>2.68</v>
      </c>
      <c r="AC961" s="29">
        <f>HYPERLINK("[P Only New retention.xlsx]'Lake P Results'!Z57", 3.84)</f>
        <v>3.84</v>
      </c>
      <c r="AD961" s="29">
        <f>HYPERLINK("[P Only with New retention and Differentiation.xlsx]'Lake P Results'!Z57", 5.08)</f>
        <v>5.08</v>
      </c>
      <c r="AE961" s="46">
        <f>AC961-AB961</f>
        <v>1.1599999999999997</v>
      </c>
      <c r="AF961" s="46">
        <f>AD961-AB961</f>
        <v>2.4</v>
      </c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28">
        <f>HYPERLINK("[P Only Old retention.xlsx]'Lake P Results'!AH57", 50)</f>
        <v>50</v>
      </c>
      <c r="AR961" s="28">
        <f>HYPERLINK("[P Only New retention.xlsx]'Lake P Results'!AH57", 50)</f>
        <v>50</v>
      </c>
      <c r="AS961" s="28">
        <f>HYPERLINK("[P Only with New retention and Differentiation.xlsx]'Lake P Results'!AH57", 50)</f>
        <v>50</v>
      </c>
      <c r="AT961" s="13"/>
      <c r="AU961" s="13"/>
      <c r="AV961" s="29">
        <f>HYPERLINK("[P Only Old retention.xlsx]'Lake P Results'!M57", 27.66)</f>
        <v>27.66</v>
      </c>
      <c r="AW961" s="29">
        <f>HYPERLINK("[P Only New retention.xlsx]'Lake P Results'!M57", 27.66)</f>
        <v>27.66</v>
      </c>
      <c r="AX961" s="29">
        <f>HYPERLINK("[P Only with New retention and Differentiation.xlsx]'Lake P Results'!M57", 27.66)</f>
        <v>27.66</v>
      </c>
      <c r="AY961" s="13"/>
      <c r="AZ961" s="13"/>
      <c r="BA961" s="29">
        <f>HYPERLINK("[P Only Old retention.xlsx]'Lake P Results'!O57", 6.26)</f>
        <v>6.26</v>
      </c>
      <c r="BB961" s="29">
        <f>HYPERLINK("[P Only New retention.xlsx]'Lake P Results'!O57", 6.26)</f>
        <v>6.26</v>
      </c>
      <c r="BC961" s="29">
        <f>HYPERLINK("[P Only with New retention and Differentiation.xlsx]'Lake P Results'!O57", 6.26)</f>
        <v>6.26</v>
      </c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</row>
    <row r="962" spans="1:67" x14ac:dyDescent="0.55000000000000004">
      <c r="A962" s="30">
        <v>187</v>
      </c>
      <c r="B962" s="6" t="s">
        <v>374</v>
      </c>
      <c r="C962" s="27">
        <f>HYPERLINK("[P Only Old retention.xlsx]'Lake P Results'!AE58", 0.27)</f>
        <v>0.27</v>
      </c>
      <c r="D962" s="27">
        <f>HYPERLINK("[P Only New retention.xlsx]'Lake P Results'!AE58", 0.27)</f>
        <v>0.27</v>
      </c>
      <c r="E962" s="27">
        <f>HYPERLINK("[P Only with New retention and Differentiation.xlsx]'Lake P Results'!AE58", 0.27)</f>
        <v>0.27</v>
      </c>
      <c r="F962" s="18"/>
      <c r="G962" s="18"/>
      <c r="H962" s="26">
        <f>HYPERLINK("[P Only Old retention.xlsx]'Lake P Results'!AM58", 4600)</f>
        <v>4600</v>
      </c>
      <c r="I962" s="26">
        <f>HYPERLINK("[P Only New retention.xlsx]'Lake P Results'!AM58", 4600)</f>
        <v>4600</v>
      </c>
      <c r="J962" s="26">
        <f>HYPERLINK("[P Only with New retention and Differentiation.xlsx]'Lake P Results'!AM58", 4600)</f>
        <v>4600</v>
      </c>
      <c r="K962" s="18"/>
      <c r="L962" s="18"/>
      <c r="M962" s="27">
        <f>HYPERLINK("[P Only Old retention.xlsx]'Lake P Results'!AC58", 1.108)</f>
        <v>1.1080000000000001</v>
      </c>
      <c r="N962" s="27">
        <f>HYPERLINK("[P Only New retention.xlsx]'Lake P Results'!AC58", 1.108)</f>
        <v>1.1080000000000001</v>
      </c>
      <c r="O962" s="27">
        <f>HYPERLINK("[P Only with New retention and Differentiation.xlsx]'Lake P Results'!AC58", 1.108)</f>
        <v>1.1080000000000001</v>
      </c>
      <c r="P962" s="18"/>
      <c r="Q962" s="18"/>
      <c r="R962" s="27">
        <f>HYPERLINK("[P Only Old retention.xlsx]'Lake P Results'!Y58", 0.07)</f>
        <v>7.0000000000000007E-2</v>
      </c>
      <c r="S962" s="18"/>
      <c r="T962" s="18"/>
      <c r="U962" s="47">
        <f>S962-R962</f>
        <v>-7.0000000000000007E-2</v>
      </c>
      <c r="V962" s="47">
        <f>T962-R962</f>
        <v>-7.0000000000000007E-2</v>
      </c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27">
        <f>HYPERLINK("[P Only Old retention.xlsx]'Lake P Results'!AA58", 11.034)</f>
        <v>11.034000000000001</v>
      </c>
      <c r="AH962" s="27">
        <f>HYPERLINK("[P Only New retention.xlsx]'Lake P Results'!AA58", 11.034)</f>
        <v>11.034000000000001</v>
      </c>
      <c r="AI962" s="27">
        <f>HYPERLINK("[P Only with New retention and Differentiation.xlsx]'Lake P Results'!AA58", 11.034)</f>
        <v>11.034000000000001</v>
      </c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</row>
    <row r="963" spans="1:67" x14ac:dyDescent="0.55000000000000004">
      <c r="A963" s="31">
        <v>188</v>
      </c>
      <c r="B963" s="5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</row>
    <row r="964" spans="1:67" x14ac:dyDescent="0.55000000000000004">
      <c r="A964" s="30">
        <v>189</v>
      </c>
      <c r="B964" s="6" t="s">
        <v>375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</row>
    <row r="965" spans="1:67" x14ac:dyDescent="0.55000000000000004">
      <c r="A965" s="31">
        <v>190</v>
      </c>
      <c r="B965" s="5" t="s">
        <v>376</v>
      </c>
      <c r="C965" s="13"/>
      <c r="D965" s="13"/>
      <c r="E965" s="13"/>
      <c r="F965" s="13"/>
      <c r="G965" s="13"/>
      <c r="H965" s="28">
        <f>HYPERLINK("[P Only Old retention.xlsx]'Lake P Results'!AM61", 700)</f>
        <v>700</v>
      </c>
      <c r="I965" s="28">
        <f>HYPERLINK("[P Only New retention.xlsx]'Lake P Results'!AM61", 700)</f>
        <v>700</v>
      </c>
      <c r="J965" s="28">
        <f>HYPERLINK("[P Only with New retention and Differentiation.xlsx]'Lake P Results'!AM61", 600)</f>
        <v>600</v>
      </c>
      <c r="K965" s="13"/>
      <c r="L965" s="21">
        <f>J965-H965</f>
        <v>-100</v>
      </c>
      <c r="M965" s="29">
        <f>HYPERLINK("[P Only Old retention.xlsx]'Lake P Results'!AC61", 38.72)</f>
        <v>38.72</v>
      </c>
      <c r="N965" s="29">
        <f>HYPERLINK("[P Only New retention.xlsx]'Lake P Results'!AC61", 36.992)</f>
        <v>36.991999999999997</v>
      </c>
      <c r="O965" s="29">
        <f>HYPERLINK("[P Only with New retention and Differentiation.xlsx]'Lake P Results'!AC61", 46.692)</f>
        <v>46.692</v>
      </c>
      <c r="P965" s="47">
        <f>N965-M965</f>
        <v>-1.7280000000000015</v>
      </c>
      <c r="Q965" s="46">
        <f>O965-M965</f>
        <v>7.9720000000000013</v>
      </c>
      <c r="R965" s="29">
        <f>HYPERLINK("[P Only Old retention.xlsx]'Lake P Results'!Y61", 11.27)</f>
        <v>11.27</v>
      </c>
      <c r="S965" s="13"/>
      <c r="T965" s="29">
        <f>HYPERLINK("[P Only with New retention and Differentiation.xlsx]'Lake P Results'!Y61", 1.57)</f>
        <v>1.57</v>
      </c>
      <c r="U965" s="47">
        <f>S965-R965</f>
        <v>-11.27</v>
      </c>
      <c r="V965" s="47">
        <f>T965-R965</f>
        <v>-9.6999999999999993</v>
      </c>
      <c r="W965" s="13"/>
      <c r="X965" s="13"/>
      <c r="Y965" s="13"/>
      <c r="Z965" s="13"/>
      <c r="AA965" s="13"/>
      <c r="AB965" s="29">
        <f>HYPERLINK("[P Only Old retention.xlsx]'Lake P Results'!Z61", 1.57)</f>
        <v>1.57</v>
      </c>
      <c r="AC965" s="29">
        <f>HYPERLINK("[P Only New retention.xlsx]'Lake P Results'!Z61", 15.56)</f>
        <v>15.56</v>
      </c>
      <c r="AD965" s="29">
        <f>HYPERLINK("[P Only with New retention and Differentiation.xlsx]'Lake P Results'!Z61", 4.29)</f>
        <v>4.29</v>
      </c>
      <c r="AE965" s="46">
        <f>AC965-AB965</f>
        <v>13.99</v>
      </c>
      <c r="AF965" s="46">
        <f>AD965-AB965</f>
        <v>2.7199999999999998</v>
      </c>
      <c r="AG965" s="13"/>
      <c r="AH965" s="13"/>
      <c r="AI965" s="13"/>
      <c r="AJ965" s="13"/>
      <c r="AK965" s="13"/>
      <c r="AL965" s="29">
        <f>HYPERLINK("[P Only Old retention.xlsx]'Lake P Results'!AF61", 0.014)</f>
        <v>1.4E-2</v>
      </c>
      <c r="AM965" s="29">
        <f>HYPERLINK("[P Only New retention.xlsx]'Lake P Results'!AF61", 0.014)</f>
        <v>1.4E-2</v>
      </c>
      <c r="AN965" s="29">
        <f>HYPERLINK("[P Only with New retention and Differentiation.xlsx]'Lake P Results'!AF61", 0.014)</f>
        <v>1.4E-2</v>
      </c>
      <c r="AO965" s="13"/>
      <c r="AP965" s="13"/>
      <c r="AQ965" s="28">
        <f>HYPERLINK("[P Only Old retention.xlsx]'Lake P Results'!AH61", 20)</f>
        <v>20</v>
      </c>
      <c r="AR965" s="28">
        <f>HYPERLINK("[P Only New retention.xlsx]'Lake P Results'!AH61", 20)</f>
        <v>20</v>
      </c>
      <c r="AS965" s="28">
        <f>HYPERLINK("[P Only with New retention and Differentiation.xlsx]'Lake P Results'!AH61", 20)</f>
        <v>20</v>
      </c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</row>
    <row r="966" spans="1:67" x14ac:dyDescent="0.55000000000000004">
      <c r="A966" s="30">
        <v>195</v>
      </c>
      <c r="B966" s="6" t="s">
        <v>377</v>
      </c>
      <c r="C966" s="18"/>
      <c r="D966" s="18"/>
      <c r="E966" s="18"/>
      <c r="F966" s="18"/>
      <c r="G966" s="18"/>
      <c r="H966" s="26">
        <f>HYPERLINK("[P Only Old retention.xlsx]'Lake P Results'!AM62", 4100)</f>
        <v>4100</v>
      </c>
      <c r="I966" s="26">
        <f>HYPERLINK("[P Only New retention.xlsx]'Lake P Results'!AM62", 4100)</f>
        <v>4100</v>
      </c>
      <c r="J966" s="26">
        <f>HYPERLINK("[P Only with New retention and Differentiation.xlsx]'Lake P Results'!AM62", 4100)</f>
        <v>4100</v>
      </c>
      <c r="K966" s="18"/>
      <c r="L966" s="18"/>
      <c r="M966" s="27">
        <f>HYPERLINK("[P Only Old retention.xlsx]'Lake P Results'!AC62", 3.728)</f>
        <v>3.7280000000000002</v>
      </c>
      <c r="N966" s="27">
        <f>HYPERLINK("[P Only New retention.xlsx]'Lake P Results'!AC62", 3.728)</f>
        <v>3.7280000000000002</v>
      </c>
      <c r="O966" s="27">
        <f>HYPERLINK("[P Only with New retention and Differentiation.xlsx]'Lake P Results'!AC62", 3.728)</f>
        <v>3.7280000000000002</v>
      </c>
      <c r="P966" s="18"/>
      <c r="Q966" s="18"/>
      <c r="R966" s="27">
        <f>HYPERLINK("[P Only Old retention.xlsx]'Lake P Results'!Y62", 16.48)</f>
        <v>16.48</v>
      </c>
      <c r="S966" s="18"/>
      <c r="T966" s="18"/>
      <c r="U966" s="47">
        <f>S966-R966</f>
        <v>-16.48</v>
      </c>
      <c r="V966" s="47">
        <f>T966-R966</f>
        <v>-16.48</v>
      </c>
      <c r="W966" s="27">
        <f>HYPERLINK("[P Only Old retention.xlsx]'Lake P Results'!V62", 2.58)</f>
        <v>2.58</v>
      </c>
      <c r="X966" s="27">
        <f>HYPERLINK("[P Only New retention.xlsx]'Lake P Results'!V62", 2.58)</f>
        <v>2.58</v>
      </c>
      <c r="Y966" s="27">
        <f>HYPERLINK("[P Only with New retention and Differentiation.xlsx]'Lake P Results'!V62", 2.58)</f>
        <v>2.58</v>
      </c>
      <c r="Z966" s="18"/>
      <c r="AA966" s="18"/>
      <c r="AB966" s="27">
        <f>HYPERLINK("[P Only Old retention.xlsx]'Lake P Results'!Z62", 0.952)</f>
        <v>0.95199999999999996</v>
      </c>
      <c r="AC966" s="27">
        <f>HYPERLINK("[P Only New retention.xlsx]'Lake P Results'!Z62", 17.432)</f>
        <v>17.431999999999999</v>
      </c>
      <c r="AD966" s="27">
        <f>HYPERLINK("[P Only with New retention and Differentiation.xlsx]'Lake P Results'!Z62", 17.432)</f>
        <v>17.431999999999999</v>
      </c>
      <c r="AE966" s="46">
        <f>AC966-AB966</f>
        <v>16.479999999999997</v>
      </c>
      <c r="AF966" s="46">
        <f>AD966-AB966</f>
        <v>16.479999999999997</v>
      </c>
      <c r="AG966" s="18"/>
      <c r="AH966" s="18"/>
      <c r="AI966" s="18"/>
      <c r="AJ966" s="18"/>
      <c r="AK966" s="18"/>
      <c r="AL966" s="27">
        <f>HYPERLINK("[P Only Old retention.xlsx]'Lake P Results'!AF62", 0.05)</f>
        <v>0.05</v>
      </c>
      <c r="AM966" s="27">
        <f>HYPERLINK("[P Only New retention.xlsx]'Lake P Results'!AF62", 0.05)</f>
        <v>0.05</v>
      </c>
      <c r="AN966" s="27">
        <f>HYPERLINK("[P Only with New retention and Differentiation.xlsx]'Lake P Results'!AF62", 0.05)</f>
        <v>0.05</v>
      </c>
      <c r="AO966" s="18"/>
      <c r="AP966" s="18"/>
      <c r="AQ966" s="26">
        <f>HYPERLINK("[P Only Old retention.xlsx]'Lake P Results'!AH62", 259.999999999985)</f>
        <v>259.99999999998499</v>
      </c>
      <c r="AR966" s="26">
        <f>HYPERLINK("[P Only New retention.xlsx]'Lake P Results'!AH62", 259.999999999985)</f>
        <v>259.99999999998499</v>
      </c>
      <c r="AS966" s="26">
        <f>HYPERLINK("[P Only with New retention and Differentiation.xlsx]'Lake P Results'!AH62", 259.999999999985)</f>
        <v>259.99999999998499</v>
      </c>
      <c r="AT966" s="18"/>
      <c r="AU966" s="18"/>
      <c r="AV966" s="27">
        <f>HYPERLINK("[P Only Old retention.xlsx]'Lake P Results'!M62", 167.2)</f>
        <v>167.2</v>
      </c>
      <c r="AW966" s="27">
        <f>HYPERLINK("[P Only New retention.xlsx]'Lake P Results'!M62", 167.2)</f>
        <v>167.2</v>
      </c>
      <c r="AX966" s="27">
        <f>HYPERLINK("[P Only with New retention and Differentiation.xlsx]'Lake P Results'!M62", 167.2)</f>
        <v>167.2</v>
      </c>
      <c r="AY966" s="18"/>
      <c r="AZ966" s="18"/>
      <c r="BA966" s="27">
        <f>HYPERLINK("[P Only Old retention.xlsx]'Lake P Results'!O62", 30.478)</f>
        <v>30.478000000000002</v>
      </c>
      <c r="BB966" s="27">
        <f>HYPERLINK("[P Only New retention.xlsx]'Lake P Results'!O62", 30.478)</f>
        <v>30.478000000000002</v>
      </c>
      <c r="BC966" s="27">
        <f>HYPERLINK("[P Only with New retention and Differentiation.xlsx]'Lake P Results'!O62", 30.478)</f>
        <v>30.478000000000002</v>
      </c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</row>
    <row r="967" spans="1:67" x14ac:dyDescent="0.55000000000000004">
      <c r="A967" s="31">
        <v>196</v>
      </c>
      <c r="B967" s="5" t="s">
        <v>378</v>
      </c>
      <c r="C967" s="29">
        <f>HYPERLINK("[P Only Old retention.xlsx]'Lake P Results'!AE63", 3.03999999999999)</f>
        <v>3.0399999999999898</v>
      </c>
      <c r="D967" s="29">
        <f>HYPERLINK("[P Only New retention.xlsx]'Lake P Results'!AE63", 3.03999999999999)</f>
        <v>3.0399999999999898</v>
      </c>
      <c r="E967" s="29">
        <f>HYPERLINK("[P Only with New retention and Differentiation.xlsx]'Lake P Results'!AE63", 3.03999999999999)</f>
        <v>3.0399999999999898</v>
      </c>
      <c r="F967" s="13"/>
      <c r="G967" s="13"/>
      <c r="H967" s="28">
        <f>HYPERLINK("[P Only Old retention.xlsx]'Lake P Results'!AM63", 3700)</f>
        <v>3700</v>
      </c>
      <c r="I967" s="28">
        <f>HYPERLINK("[P Only New retention.xlsx]'Lake P Results'!AM63", 3700)</f>
        <v>3700</v>
      </c>
      <c r="J967" s="28">
        <f>HYPERLINK("[P Only with New retention and Differentiation.xlsx]'Lake P Results'!AM63", 3700)</f>
        <v>3700</v>
      </c>
      <c r="K967" s="13"/>
      <c r="L967" s="13"/>
      <c r="M967" s="29">
        <f>HYPERLINK("[P Only Old retention.xlsx]'Lake P Results'!AC63", 52.412)</f>
        <v>52.411999999999999</v>
      </c>
      <c r="N967" s="29">
        <f>HYPERLINK("[P Only New retention.xlsx]'Lake P Results'!AC63", 26.762)</f>
        <v>26.762</v>
      </c>
      <c r="O967" s="29">
        <f>HYPERLINK("[P Only with New retention and Differentiation.xlsx]'Lake P Results'!AC63", 83.842)</f>
        <v>83.841999999999999</v>
      </c>
      <c r="P967" s="47">
        <f>N967-M967</f>
        <v>-25.65</v>
      </c>
      <c r="Q967" s="46">
        <f>O967-M967</f>
        <v>31.43</v>
      </c>
      <c r="R967" s="29">
        <f>HYPERLINK("[P Only Old retention.xlsx]'Lake P Results'!Y63", 35.07)</f>
        <v>35.07</v>
      </c>
      <c r="S967" s="29">
        <f>HYPERLINK("[P Only New retention.xlsx]'Lake P Results'!Y63", 63.792)</f>
        <v>63.792000000000002</v>
      </c>
      <c r="T967" s="29">
        <f>HYPERLINK("[P Only with New retention and Differentiation.xlsx]'Lake P Results'!Y63", 5.918)</f>
        <v>5.9180000000000001</v>
      </c>
      <c r="U967" s="46">
        <f>S967-R967</f>
        <v>28.722000000000001</v>
      </c>
      <c r="V967" s="47">
        <f>T967-R967</f>
        <v>-29.152000000000001</v>
      </c>
      <c r="W967" s="13"/>
      <c r="X967" s="13"/>
      <c r="Y967" s="13"/>
      <c r="Z967" s="13"/>
      <c r="AA967" s="13"/>
      <c r="AB967" s="29">
        <f>HYPERLINK("[P Only Old retention.xlsx]'Lake P Results'!Z63", 1.126)</f>
        <v>1.1259999999999999</v>
      </c>
      <c r="AC967" s="29">
        <f>HYPERLINK("[P Only New retention.xlsx]'Lake P Results'!Z63", 0.236)</f>
        <v>0.23599999999999999</v>
      </c>
      <c r="AD967" s="29">
        <f>HYPERLINK("[P Only with New retention and Differentiation.xlsx]'Lake P Results'!Z63", 1.03)</f>
        <v>1.03</v>
      </c>
      <c r="AE967" s="47">
        <f>AC967-AB967</f>
        <v>-0.8899999999999999</v>
      </c>
      <c r="AF967" s="47">
        <f>AD967-AB967</f>
        <v>-9.5999999999999863E-2</v>
      </c>
      <c r="AG967" s="29">
        <f>HYPERLINK("[P Only Old retention.xlsx]'Lake P Results'!AA63", 7.01)</f>
        <v>7.01</v>
      </c>
      <c r="AH967" s="29">
        <f>HYPERLINK("[P Only New retention.xlsx]'Lake P Results'!AA63", 6.25)</f>
        <v>6.25</v>
      </c>
      <c r="AI967" s="29">
        <f>HYPERLINK("[P Only with New retention and Differentiation.xlsx]'Lake P Results'!AA63", 6.25)</f>
        <v>6.25</v>
      </c>
      <c r="AJ967" s="47">
        <f>AH967-AG967</f>
        <v>-0.75999999999999979</v>
      </c>
      <c r="AK967" s="47">
        <f>AI967-AG967</f>
        <v>-0.75999999999999979</v>
      </c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29">
        <f>HYPERLINK("[P Only Old retention.xlsx]'Lake P Results'!M63", 12.52)</f>
        <v>12.52</v>
      </c>
      <c r="AW967" s="29">
        <f>HYPERLINK("[P Only New retention.xlsx]'Lake P Results'!M63", 12.52)</f>
        <v>12.52</v>
      </c>
      <c r="AX967" s="29">
        <f>HYPERLINK("[P Only with New retention and Differentiation.xlsx]'Lake P Results'!M63", 12.52)</f>
        <v>12.52</v>
      </c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</row>
    <row r="968" spans="1:67" x14ac:dyDescent="0.55000000000000004">
      <c r="A968" s="30">
        <v>197</v>
      </c>
      <c r="B968" s="6" t="s">
        <v>379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</row>
    <row r="969" spans="1:67" x14ac:dyDescent="0.55000000000000004">
      <c r="A969" s="31">
        <v>202</v>
      </c>
      <c r="B969" s="5" t="s">
        <v>380</v>
      </c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</row>
    <row r="970" spans="1:67" x14ac:dyDescent="0.55000000000000004">
      <c r="A970" s="30">
        <v>206</v>
      </c>
      <c r="B970" s="6" t="s">
        <v>381</v>
      </c>
      <c r="C970" s="18"/>
      <c r="D970" s="18"/>
      <c r="E970" s="18"/>
      <c r="F970" s="18"/>
      <c r="G970" s="18"/>
      <c r="H970" s="26">
        <f>HYPERLINK("[P Only Old retention.xlsx]'Lake P Results'!AM66", 300)</f>
        <v>300</v>
      </c>
      <c r="I970" s="26">
        <f>HYPERLINK("[P Only New retention.xlsx]'Lake P Results'!AM66", 300)</f>
        <v>300</v>
      </c>
      <c r="J970" s="26">
        <f>HYPERLINK("[P Only with New retention and Differentiation.xlsx]'Lake P Results'!AM66", 300)</f>
        <v>300</v>
      </c>
      <c r="K970" s="18"/>
      <c r="L970" s="18"/>
      <c r="M970" s="27">
        <f>HYPERLINK("[P Only Old retention.xlsx]'Lake P Results'!AC66", 0.054)</f>
        <v>5.3999999999999999E-2</v>
      </c>
      <c r="N970" s="27">
        <f>HYPERLINK("[P Only New retention.xlsx]'Lake P Results'!AC66", 10.352)</f>
        <v>10.352</v>
      </c>
      <c r="O970" s="27">
        <f>HYPERLINK("[P Only with New retention and Differentiation.xlsx]'Lake P Results'!AC66", 10.352)</f>
        <v>10.352</v>
      </c>
      <c r="P970" s="46">
        <f>N970-M970</f>
        <v>10.298</v>
      </c>
      <c r="Q970" s="46">
        <f>O970-M970</f>
        <v>10.298</v>
      </c>
      <c r="R970" s="27">
        <f>HYPERLINK("[P Only Old retention.xlsx]'Lake P Results'!Y66", 10.352)</f>
        <v>10.352</v>
      </c>
      <c r="S970" s="18"/>
      <c r="T970" s="18"/>
      <c r="U970" s="47">
        <f>S970-R970</f>
        <v>-10.352</v>
      </c>
      <c r="V970" s="47">
        <f>T970-R970</f>
        <v>-10.352</v>
      </c>
      <c r="W970" s="18"/>
      <c r="X970" s="18"/>
      <c r="Y970" s="18"/>
      <c r="Z970" s="18"/>
      <c r="AA970" s="18"/>
      <c r="AB970" s="18"/>
      <c r="AC970" s="27">
        <f>HYPERLINK("[P Only New retention.xlsx]'Lake P Results'!Z66", 0.054)</f>
        <v>5.3999999999999999E-2</v>
      </c>
      <c r="AD970" s="27">
        <f>HYPERLINK("[P Only with New retention and Differentiation.xlsx]'Lake P Results'!Z66", 0.054)</f>
        <v>5.3999999999999999E-2</v>
      </c>
      <c r="AE970" s="46">
        <f>AC970-AB970</f>
        <v>5.3999999999999999E-2</v>
      </c>
      <c r="AF970" s="46">
        <f>AD970-AB970</f>
        <v>5.3999999999999999E-2</v>
      </c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26">
        <f>HYPERLINK("[P Only Old retention.xlsx]'Lake P Results'!AH66", 50)</f>
        <v>50</v>
      </c>
      <c r="AR970" s="26">
        <f>HYPERLINK("[P Only New retention.xlsx]'Lake P Results'!AH66", 50)</f>
        <v>50</v>
      </c>
      <c r="AS970" s="26">
        <f>HYPERLINK("[P Only with New retention and Differentiation.xlsx]'Lake P Results'!AH66", 50)</f>
        <v>50</v>
      </c>
      <c r="AT970" s="18"/>
      <c r="AU970" s="18"/>
      <c r="AV970" s="18"/>
      <c r="AW970" s="18"/>
      <c r="AX970" s="18"/>
      <c r="AY970" s="18"/>
      <c r="AZ970" s="18"/>
      <c r="BA970" s="27">
        <f>HYPERLINK("[P Only Old retention.xlsx]'Lake P Results'!O66", 0.078)</f>
        <v>7.8E-2</v>
      </c>
      <c r="BB970" s="27">
        <f>HYPERLINK("[P Only New retention.xlsx]'Lake P Results'!O66", 0.078)</f>
        <v>7.8E-2</v>
      </c>
      <c r="BC970" s="27">
        <f>HYPERLINK("[P Only with New retention and Differentiation.xlsx]'Lake P Results'!O66", 0.078)</f>
        <v>7.8E-2</v>
      </c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</row>
    <row r="971" spans="1:67" x14ac:dyDescent="0.55000000000000004">
      <c r="A971" s="31">
        <v>213</v>
      </c>
      <c r="B971" s="5" t="s">
        <v>382</v>
      </c>
      <c r="C971" s="29">
        <f>HYPERLINK("[P Only Old retention.xlsx]'Lake P Results'!AE67", 0.2)</f>
        <v>0.2</v>
      </c>
      <c r="D971" s="29">
        <f>HYPERLINK("[P Only New retention.xlsx]'Lake P Results'!AE67", 0.2)</f>
        <v>0.2</v>
      </c>
      <c r="E971" s="29">
        <f>HYPERLINK("[P Only with New retention and Differentiation.xlsx]'Lake P Results'!AE67", 0.2)</f>
        <v>0.2</v>
      </c>
      <c r="F971" s="13"/>
      <c r="G971" s="13"/>
      <c r="H971" s="28">
        <f>HYPERLINK("[P Only Old retention.xlsx]'Lake P Results'!AM67", 3500)</f>
        <v>3500</v>
      </c>
      <c r="I971" s="28">
        <f>HYPERLINK("[P Only New retention.xlsx]'Lake P Results'!AM67", 3500)</f>
        <v>3500</v>
      </c>
      <c r="J971" s="28">
        <f>HYPERLINK("[P Only with New retention and Differentiation.xlsx]'Lake P Results'!AM67", 3500)</f>
        <v>3500</v>
      </c>
      <c r="K971" s="13"/>
      <c r="L971" s="13"/>
      <c r="M971" s="29">
        <f>HYPERLINK("[P Only Old retention.xlsx]'Lake P Results'!AC67", 11.11)</f>
        <v>11.11</v>
      </c>
      <c r="N971" s="29">
        <f>HYPERLINK("[P Only New retention.xlsx]'Lake P Results'!AC67", 11.11)</f>
        <v>11.11</v>
      </c>
      <c r="O971" s="29">
        <f>HYPERLINK("[P Only with New retention and Differentiation.xlsx]'Lake P Results'!AC67", 11.11)</f>
        <v>11.11</v>
      </c>
      <c r="P971" s="13"/>
      <c r="Q971" s="13"/>
      <c r="R971" s="13"/>
      <c r="S971" s="13"/>
      <c r="T971" s="13"/>
      <c r="U971" s="13"/>
      <c r="V971" s="13"/>
      <c r="W971" s="29">
        <f>HYPERLINK("[P Only Old retention.xlsx]'Lake P Results'!V67", 36.57)</f>
        <v>36.57</v>
      </c>
      <c r="X971" s="29">
        <f>HYPERLINK("[P Only New retention.xlsx]'Lake P Results'!V67", 36.57)</f>
        <v>36.57</v>
      </c>
      <c r="Y971" s="29">
        <f>HYPERLINK("[P Only with New retention and Differentiation.xlsx]'Lake P Results'!V67", 36.57)</f>
        <v>36.57</v>
      </c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28">
        <f>HYPERLINK("[P Only Old retention.xlsx]'Lake P Results'!AH67", 60)</f>
        <v>60</v>
      </c>
      <c r="AR971" s="28">
        <f>HYPERLINK("[P Only New retention.xlsx]'Lake P Results'!AH67", 60)</f>
        <v>60</v>
      </c>
      <c r="AS971" s="28">
        <f>HYPERLINK("[P Only with New retention and Differentiation.xlsx]'Lake P Results'!AH67", 60)</f>
        <v>60</v>
      </c>
      <c r="AT971" s="13"/>
      <c r="AU971" s="13"/>
      <c r="AV971" s="13"/>
      <c r="AW971" s="13"/>
      <c r="AX971" s="13"/>
      <c r="AY971" s="13"/>
      <c r="AZ971" s="13"/>
      <c r="BA971" s="29">
        <f>HYPERLINK("[P Only Old retention.xlsx]'Lake P Results'!O67", 49.392)</f>
        <v>49.392000000000003</v>
      </c>
      <c r="BB971" s="29">
        <f>HYPERLINK("[P Only New retention.xlsx]'Lake P Results'!O67", 49.392)</f>
        <v>49.392000000000003</v>
      </c>
      <c r="BC971" s="29">
        <f>HYPERLINK("[P Only with New retention and Differentiation.xlsx]'Lake P Results'!O67", 49.392)</f>
        <v>49.392000000000003</v>
      </c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</row>
    <row r="972" spans="1:67" x14ac:dyDescent="0.55000000000000004">
      <c r="A972" s="30">
        <v>215</v>
      </c>
      <c r="B972" s="6" t="s">
        <v>383</v>
      </c>
      <c r="C972" s="18"/>
      <c r="D972" s="18"/>
      <c r="E972" s="18"/>
      <c r="F972" s="18"/>
      <c r="G972" s="18"/>
      <c r="H972" s="26">
        <f>HYPERLINK("[P Only Old retention.xlsx]'Lake P Results'!AM68", 2100)</f>
        <v>2100</v>
      </c>
      <c r="I972" s="26">
        <f>HYPERLINK("[P Only New retention.xlsx]'Lake P Results'!AM68", 2100)</f>
        <v>2100</v>
      </c>
      <c r="J972" s="26">
        <f>HYPERLINK("[P Only with New retention and Differentiation.xlsx]'Lake P Results'!AM68", 2100)</f>
        <v>2100</v>
      </c>
      <c r="K972" s="18"/>
      <c r="L972" s="18"/>
      <c r="M972" s="27">
        <f>HYPERLINK("[P Only Old retention.xlsx]'Lake P Results'!AC68", 75.43)</f>
        <v>75.430000000000007</v>
      </c>
      <c r="N972" s="27">
        <f>HYPERLINK("[P Only New retention.xlsx]'Lake P Results'!AC68", 83.33)</f>
        <v>83.33</v>
      </c>
      <c r="O972" s="27">
        <f>HYPERLINK("[P Only with New retention and Differentiation.xlsx]'Lake P Results'!AC68", 88.64)</f>
        <v>88.64</v>
      </c>
      <c r="P972" s="46">
        <f>N972-M972</f>
        <v>7.8999999999999915</v>
      </c>
      <c r="Q972" s="46">
        <f>O972-M972</f>
        <v>13.209999999999994</v>
      </c>
      <c r="R972" s="27">
        <f>HYPERLINK("[P Only Old retention.xlsx]'Lake P Results'!Y68", 10.99)</f>
        <v>10.99</v>
      </c>
      <c r="S972" s="27">
        <f>HYPERLINK("[P Only New retention.xlsx]'Lake P Results'!Y68", 8.33)</f>
        <v>8.33</v>
      </c>
      <c r="T972" s="27">
        <f>HYPERLINK("[P Only with New retention and Differentiation.xlsx]'Lake P Results'!Y68", 0.94)</f>
        <v>0.94</v>
      </c>
      <c r="U972" s="47">
        <f>S972-R972</f>
        <v>-2.66</v>
      </c>
      <c r="V972" s="47">
        <f>T972-R972</f>
        <v>-10.050000000000001</v>
      </c>
      <c r="W972" s="27">
        <f>HYPERLINK("[P Only Old retention.xlsx]'Lake P Results'!V68", 88.17)</f>
        <v>88.17</v>
      </c>
      <c r="X972" s="27">
        <f>HYPERLINK("[P Only New retention.xlsx]'Lake P Results'!V68", 82.83)</f>
        <v>82.83</v>
      </c>
      <c r="Y972" s="27">
        <f>HYPERLINK("[P Only with New retention and Differentiation.xlsx]'Lake P Results'!V68", 82.83)</f>
        <v>82.83</v>
      </c>
      <c r="Z972" s="47">
        <f>X972-W972</f>
        <v>-5.3400000000000034</v>
      </c>
      <c r="AA972" s="47">
        <f>Y972-W972</f>
        <v>-5.3400000000000034</v>
      </c>
      <c r="AB972" s="27">
        <f>HYPERLINK("[P Only Old retention.xlsx]'Lake P Results'!Z68", 0.48)</f>
        <v>0.48</v>
      </c>
      <c r="AC972" s="27">
        <f>HYPERLINK("[P Only New retention.xlsx]'Lake P Results'!Z68", 0.58)</f>
        <v>0.57999999999999996</v>
      </c>
      <c r="AD972" s="27">
        <f>HYPERLINK("[P Only with New retention and Differentiation.xlsx]'Lake P Results'!Z68", 2.66)</f>
        <v>2.66</v>
      </c>
      <c r="AE972" s="46">
        <f>AC972-AB972</f>
        <v>9.9999999999999978E-2</v>
      </c>
      <c r="AF972" s="46">
        <f>AD972-AB972</f>
        <v>2.1800000000000002</v>
      </c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26">
        <f>HYPERLINK("[P Only Old retention.xlsx]'Lake P Results'!AH68", 270)</f>
        <v>270</v>
      </c>
      <c r="AR972" s="26">
        <f>HYPERLINK("[P Only New retention.xlsx]'Lake P Results'!AH68", 270)</f>
        <v>270</v>
      </c>
      <c r="AS972" s="26">
        <f>HYPERLINK("[P Only with New retention and Differentiation.xlsx]'Lake P Results'!AH68", 270)</f>
        <v>270</v>
      </c>
      <c r="AT972" s="18"/>
      <c r="AU972" s="18"/>
      <c r="AV972" s="27">
        <f>HYPERLINK("[P Only Old retention.xlsx]'Lake P Results'!M68", 74.3)</f>
        <v>74.3</v>
      </c>
      <c r="AW972" s="27">
        <f>HYPERLINK("[P Only New retention.xlsx]'Lake P Results'!M68", 74.3)</f>
        <v>74.3</v>
      </c>
      <c r="AX972" s="27">
        <f>HYPERLINK("[P Only with New retention and Differentiation.xlsx]'Lake P Results'!M68", 74.79)</f>
        <v>74.790000000000006</v>
      </c>
      <c r="AY972" s="18"/>
      <c r="AZ972" s="46">
        <f>AX972-AV972</f>
        <v>0.49000000000000909</v>
      </c>
      <c r="BA972" s="27">
        <f>HYPERLINK("[P Only Old retention.xlsx]'Lake P Results'!O68", 30.346)</f>
        <v>30.346</v>
      </c>
      <c r="BB972" s="27">
        <f>HYPERLINK("[P Only New retention.xlsx]'Lake P Results'!O68", 30.346)</f>
        <v>30.346</v>
      </c>
      <c r="BC972" s="27">
        <f>HYPERLINK("[P Only with New retention and Differentiation.xlsx]'Lake P Results'!O68", 29.856)</f>
        <v>29.856000000000002</v>
      </c>
      <c r="BD972" s="18"/>
      <c r="BE972" s="47">
        <f>BC972-BA972</f>
        <v>-0.48999999999999844</v>
      </c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</row>
    <row r="973" spans="1:67" x14ac:dyDescent="0.55000000000000004">
      <c r="A973" s="31">
        <v>219</v>
      </c>
      <c r="B973" s="5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</row>
    <row r="974" spans="1:67" x14ac:dyDescent="0.55000000000000004">
      <c r="A974" s="30">
        <v>220</v>
      </c>
      <c r="B974" s="6" t="s">
        <v>384</v>
      </c>
      <c r="C974" s="18"/>
      <c r="D974" s="18"/>
      <c r="E974" s="18"/>
      <c r="F974" s="18"/>
      <c r="G974" s="18"/>
      <c r="H974" s="26">
        <f>HYPERLINK("[P Only Old retention.xlsx]'Lake P Results'!AM70", 1000)</f>
        <v>1000</v>
      </c>
      <c r="I974" s="26">
        <f>HYPERLINK("[P Only New retention.xlsx]'Lake P Results'!AM70", 1000)</f>
        <v>1000</v>
      </c>
      <c r="J974" s="26">
        <f>HYPERLINK("[P Only with New retention and Differentiation.xlsx]'Lake P Results'!AM70", 1000)</f>
        <v>1000</v>
      </c>
      <c r="K974" s="18"/>
      <c r="L974" s="18"/>
      <c r="M974" s="27">
        <f>HYPERLINK("[P Only Old retention.xlsx]'Lake P Results'!AC70", 13.47)</f>
        <v>13.47</v>
      </c>
      <c r="N974" s="27">
        <f>HYPERLINK("[P Only New retention.xlsx]'Lake P Results'!AC70", 13.47)</f>
        <v>13.47</v>
      </c>
      <c r="O974" s="27">
        <f>HYPERLINK("[P Only with New retention and Differentiation.xlsx]'Lake P Results'!AC70", 13.47)</f>
        <v>13.47</v>
      </c>
      <c r="P974" s="18"/>
      <c r="Q974" s="18"/>
      <c r="R974" s="27">
        <f>HYPERLINK("[P Only Old retention.xlsx]'Lake P Results'!Y70", 7.93)</f>
        <v>7.93</v>
      </c>
      <c r="S974" s="27">
        <f>HYPERLINK("[P Only New retention.xlsx]'Lake P Results'!Y70", 7.93)</f>
        <v>7.93</v>
      </c>
      <c r="T974" s="18"/>
      <c r="U974" s="18"/>
      <c r="V974" s="47">
        <f>T974-R974</f>
        <v>-7.93</v>
      </c>
      <c r="W974" s="18"/>
      <c r="X974" s="18"/>
      <c r="Y974" s="18"/>
      <c r="Z974" s="18"/>
      <c r="AA974" s="18"/>
      <c r="AB974" s="18"/>
      <c r="AC974" s="18"/>
      <c r="AD974" s="27">
        <f>HYPERLINK("[P Only with New retention and Differentiation.xlsx]'Lake P Results'!Z70", 7.93)</f>
        <v>7.93</v>
      </c>
      <c r="AE974" s="18"/>
      <c r="AF974" s="46">
        <f>AD974-AB974</f>
        <v>7.93</v>
      </c>
      <c r="AG974" s="27">
        <f>HYPERLINK("[P Only Old retention.xlsx]'Lake P Results'!AA70", 1.744)</f>
        <v>1.744</v>
      </c>
      <c r="AH974" s="27">
        <f>HYPERLINK("[P Only New retention.xlsx]'Lake P Results'!AA70", 1.744)</f>
        <v>1.744</v>
      </c>
      <c r="AI974" s="27">
        <f>HYPERLINK("[P Only with New retention and Differentiation.xlsx]'Lake P Results'!AA70", 1.744)</f>
        <v>1.744</v>
      </c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</row>
    <row r="975" spans="1:67" x14ac:dyDescent="0.55000000000000004">
      <c r="A975" s="31">
        <v>222</v>
      </c>
      <c r="B975" s="5" t="s">
        <v>385</v>
      </c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29">
        <f>HYPERLINK("[P Only Old retention.xlsx]'Lake P Results'!M71", 9.01)</f>
        <v>9.01</v>
      </c>
      <c r="AW975" s="29">
        <f>HYPERLINK("[P Only New retention.xlsx]'Lake P Results'!M71", 9.01)</f>
        <v>9.01</v>
      </c>
      <c r="AX975" s="29">
        <f>HYPERLINK("[P Only with New retention and Differentiation.xlsx]'Lake P Results'!M71", 9.01)</f>
        <v>9.01</v>
      </c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</row>
    <row r="976" spans="1:67" x14ac:dyDescent="0.55000000000000004">
      <c r="A976" s="30">
        <v>224</v>
      </c>
      <c r="B976" s="6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</row>
    <row r="977" spans="1:67" x14ac:dyDescent="0.55000000000000004">
      <c r="A977" s="31">
        <v>226</v>
      </c>
      <c r="B977" s="5" t="s">
        <v>386</v>
      </c>
      <c r="C977" s="13"/>
      <c r="D977" s="13"/>
      <c r="E977" s="13"/>
      <c r="F977" s="13"/>
      <c r="G977" s="13"/>
      <c r="H977" s="28">
        <f>HYPERLINK("[P Only Old retention.xlsx]'Lake P Results'!AM73", 3800)</f>
        <v>3800</v>
      </c>
      <c r="I977" s="28">
        <f>HYPERLINK("[P Only New retention.xlsx]'Lake P Results'!AM73", 3800)</f>
        <v>3800</v>
      </c>
      <c r="J977" s="28">
        <f>HYPERLINK("[P Only with New retention and Differentiation.xlsx]'Lake P Results'!AM73", 3800)</f>
        <v>3800</v>
      </c>
      <c r="K977" s="13"/>
      <c r="L977" s="13"/>
      <c r="M977" s="13"/>
      <c r="N977" s="29">
        <f>HYPERLINK("[P Only New retention.xlsx]'Lake P Results'!AC73", 1.36)</f>
        <v>1.36</v>
      </c>
      <c r="O977" s="29">
        <f>HYPERLINK("[P Only with New retention and Differentiation.xlsx]'Lake P Results'!AC73", 1.5)</f>
        <v>1.5</v>
      </c>
      <c r="P977" s="46">
        <f>N977-M977</f>
        <v>1.36</v>
      </c>
      <c r="Q977" s="46">
        <f>O977-M977</f>
        <v>1.5</v>
      </c>
      <c r="R977" s="29">
        <f>HYPERLINK("[P Only Old retention.xlsx]'Lake P Results'!Y73", 1.36)</f>
        <v>1.36</v>
      </c>
      <c r="S977" s="29">
        <f>HYPERLINK("[P Only New retention.xlsx]'Lake P Results'!Y73", 1.5)</f>
        <v>1.5</v>
      </c>
      <c r="T977" s="29">
        <f>HYPERLINK("[P Only with New retention and Differentiation.xlsx]'Lake P Results'!Y73", 1.13)</f>
        <v>1.1299999999999999</v>
      </c>
      <c r="U977" s="46">
        <f>S977-R977</f>
        <v>0.1399999999999999</v>
      </c>
      <c r="V977" s="47">
        <f>T977-R977</f>
        <v>-0.2300000000000002</v>
      </c>
      <c r="W977" s="13"/>
      <c r="X977" s="13"/>
      <c r="Y977" s="13"/>
      <c r="Z977" s="13"/>
      <c r="AA977" s="13"/>
      <c r="AB977" s="29">
        <f>HYPERLINK("[P Only Old retention.xlsx]'Lake P Results'!Z73", 2.63)</f>
        <v>2.63</v>
      </c>
      <c r="AC977" s="29">
        <f>HYPERLINK("[P Only New retention.xlsx]'Lake P Results'!Z73", 1.13)</f>
        <v>1.1299999999999999</v>
      </c>
      <c r="AD977" s="29">
        <f>HYPERLINK("[P Only with New retention and Differentiation.xlsx]'Lake P Results'!Z73", 1.36)</f>
        <v>1.36</v>
      </c>
      <c r="AE977" s="47">
        <f>AC977-AB977</f>
        <v>-1.5</v>
      </c>
      <c r="AF977" s="47">
        <f>AD977-AB977</f>
        <v>-1.2699999999999998</v>
      </c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28">
        <f>HYPERLINK("[P Only Old retention.xlsx]'Lake P Results'!AH73", 400)</f>
        <v>400</v>
      </c>
      <c r="AR977" s="28">
        <f>HYPERLINK("[P Only New retention.xlsx]'Lake P Results'!AH73", 400)</f>
        <v>400</v>
      </c>
      <c r="AS977" s="28">
        <f>HYPERLINK("[P Only with New retention and Differentiation.xlsx]'Lake P Results'!AH73", 400)</f>
        <v>400</v>
      </c>
      <c r="AT977" s="13"/>
      <c r="AU977" s="13"/>
      <c r="AV977" s="29">
        <f>HYPERLINK("[P Only Old retention.xlsx]'Lake P Results'!M73", 420.15)</f>
        <v>420.15</v>
      </c>
      <c r="AW977" s="29">
        <f>HYPERLINK("[P Only New retention.xlsx]'Lake P Results'!M73", 420.15)</f>
        <v>420.15</v>
      </c>
      <c r="AX977" s="29">
        <f>HYPERLINK("[P Only with New retention and Differentiation.xlsx]'Lake P Results'!M73", 420.15)</f>
        <v>420.15</v>
      </c>
      <c r="AY977" s="13"/>
      <c r="AZ977" s="13"/>
      <c r="BA977" s="29">
        <f>HYPERLINK("[P Only Old retention.xlsx]'Lake P Results'!O73", 1.24)</f>
        <v>1.24</v>
      </c>
      <c r="BB977" s="29">
        <f>HYPERLINK("[P Only New retention.xlsx]'Lake P Results'!O73", 1.24)</f>
        <v>1.24</v>
      </c>
      <c r="BC977" s="29">
        <f>HYPERLINK("[P Only with New retention and Differentiation.xlsx]'Lake P Results'!O73", 1.24)</f>
        <v>1.24</v>
      </c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</row>
    <row r="978" spans="1:67" x14ac:dyDescent="0.55000000000000004">
      <c r="A978" s="30">
        <v>232</v>
      </c>
      <c r="B978" s="6" t="s">
        <v>387</v>
      </c>
      <c r="C978" s="27">
        <f>HYPERLINK("[P Only Old retention.xlsx]'Lake P Results'!AE74", 0.83)</f>
        <v>0.83</v>
      </c>
      <c r="D978" s="27">
        <f>HYPERLINK("[P Only New retention.xlsx]'Lake P Results'!AE74", 0.83)</f>
        <v>0.83</v>
      </c>
      <c r="E978" s="27">
        <f>HYPERLINK("[P Only with New retention and Differentiation.xlsx]'Lake P Results'!AE74", 0.83)</f>
        <v>0.83</v>
      </c>
      <c r="F978" s="18"/>
      <c r="G978" s="18"/>
      <c r="H978" s="26">
        <f>HYPERLINK("[P Only Old retention.xlsx]'Lake P Results'!AM74", 10900)</f>
        <v>10900</v>
      </c>
      <c r="I978" s="26">
        <f>HYPERLINK("[P Only New retention.xlsx]'Lake P Results'!AM74", 10900)</f>
        <v>10900</v>
      </c>
      <c r="J978" s="26">
        <f>HYPERLINK("[P Only with New retention and Differentiation.xlsx]'Lake P Results'!AM74", 10900)</f>
        <v>10900</v>
      </c>
      <c r="K978" s="18"/>
      <c r="L978" s="18"/>
      <c r="M978" s="27">
        <f>HYPERLINK("[P Only Old retention.xlsx]'Lake P Results'!AC74", 6.362)</f>
        <v>6.3620000000000001</v>
      </c>
      <c r="N978" s="27">
        <f>HYPERLINK("[P Only New retention.xlsx]'Lake P Results'!AC74", 27.02)</f>
        <v>27.02</v>
      </c>
      <c r="O978" s="27">
        <f>HYPERLINK("[P Only with New retention and Differentiation.xlsx]'Lake P Results'!AC74", 27.63)</f>
        <v>27.63</v>
      </c>
      <c r="P978" s="46">
        <f>N978-M978</f>
        <v>20.658000000000001</v>
      </c>
      <c r="Q978" s="46">
        <f>O978-M978</f>
        <v>21.268000000000001</v>
      </c>
      <c r="R978" s="27">
        <f>HYPERLINK("[P Only Old retention.xlsx]'Lake P Results'!Y74", 8.886)</f>
        <v>8.8859999999999992</v>
      </c>
      <c r="S978" s="27">
        <f>HYPERLINK("[P Only New retention.xlsx]'Lake P Results'!Y74", 18.928)</f>
        <v>18.928000000000001</v>
      </c>
      <c r="T978" s="27">
        <f>HYPERLINK("[P Only with New retention and Differentiation.xlsx]'Lake P Results'!Y74", 19.71)</f>
        <v>19.71</v>
      </c>
      <c r="U978" s="46">
        <f>S978-R978</f>
        <v>10.042000000000002</v>
      </c>
      <c r="V978" s="46">
        <f>T978-R978</f>
        <v>10.824000000000002</v>
      </c>
      <c r="W978" s="27">
        <f>HYPERLINK("[P Only Old retention.xlsx]'Lake P Results'!V74", 14.284)</f>
        <v>14.284000000000001</v>
      </c>
      <c r="X978" s="27">
        <f>HYPERLINK("[P Only New retention.xlsx]'Lake P Results'!V74", 14.284)</f>
        <v>14.284000000000001</v>
      </c>
      <c r="Y978" s="27">
        <f>HYPERLINK("[P Only with New retention and Differentiation.xlsx]'Lake P Results'!V74", 14.284)</f>
        <v>14.284000000000001</v>
      </c>
      <c r="Z978" s="18"/>
      <c r="AA978" s="18"/>
      <c r="AB978" s="27">
        <f>HYPERLINK("[P Only Old retention.xlsx]'Lake P Results'!Z74", 35.92)</f>
        <v>35.92</v>
      </c>
      <c r="AC978" s="27">
        <f>HYPERLINK("[P Only New retention.xlsx]'Lake P Results'!Z74", 5.22)</f>
        <v>5.22</v>
      </c>
      <c r="AD978" s="27">
        <f>HYPERLINK("[P Only with New retention and Differentiation.xlsx]'Lake P Results'!Z74", 3.828)</f>
        <v>3.8279999999999998</v>
      </c>
      <c r="AE978" s="47">
        <f>AC978-AB978</f>
        <v>-30.700000000000003</v>
      </c>
      <c r="AF978" s="47">
        <f>AD978-AB978</f>
        <v>-32.091999999999999</v>
      </c>
      <c r="AG978" s="18"/>
      <c r="AH978" s="18"/>
      <c r="AI978" s="18"/>
      <c r="AJ978" s="18"/>
      <c r="AK978" s="18"/>
      <c r="AL978" s="27">
        <f>HYPERLINK("[P Only Old retention.xlsx]'Lake P Results'!AF74", 0.19)</f>
        <v>0.19</v>
      </c>
      <c r="AM978" s="27">
        <f>HYPERLINK("[P Only New retention.xlsx]'Lake P Results'!AF74", 0.19)</f>
        <v>0.19</v>
      </c>
      <c r="AN978" s="27">
        <f>HYPERLINK("[P Only with New retention and Differentiation.xlsx]'Lake P Results'!AF74", 0.19)</f>
        <v>0.19</v>
      </c>
      <c r="AO978" s="18"/>
      <c r="AP978" s="18"/>
      <c r="AQ978" s="26">
        <f>HYPERLINK("[P Only Old retention.xlsx]'Lake P Results'!AH74", 679.99999999989)</f>
        <v>679.99999999988995</v>
      </c>
      <c r="AR978" s="26">
        <f>HYPERLINK("[P Only New retention.xlsx]'Lake P Results'!AH74", 679.99999999989)</f>
        <v>679.99999999988995</v>
      </c>
      <c r="AS978" s="26">
        <f>HYPERLINK("[P Only with New retention and Differentiation.xlsx]'Lake P Results'!AH74", 679.99999999989)</f>
        <v>679.99999999988995</v>
      </c>
      <c r="AT978" s="18"/>
      <c r="AU978" s="18"/>
      <c r="AV978" s="27">
        <f>HYPERLINK("[P Only Old retention.xlsx]'Lake P Results'!M74", 703.08)</f>
        <v>703.08</v>
      </c>
      <c r="AW978" s="27">
        <f>HYPERLINK("[P Only New retention.xlsx]'Lake P Results'!M74", 703.08)</f>
        <v>703.08</v>
      </c>
      <c r="AX978" s="27">
        <f>HYPERLINK("[P Only with New retention and Differentiation.xlsx]'Lake P Results'!M74", 703.08)</f>
        <v>703.08</v>
      </c>
      <c r="AY978" s="18"/>
      <c r="AZ978" s="18"/>
      <c r="BA978" s="27">
        <f>HYPERLINK("[P Only Old retention.xlsx]'Lake P Results'!O74", 6.648)</f>
        <v>6.6479999999999997</v>
      </c>
      <c r="BB978" s="27">
        <f>HYPERLINK("[P Only New retention.xlsx]'Lake P Results'!O74", 6.648)</f>
        <v>6.6479999999999997</v>
      </c>
      <c r="BC978" s="27">
        <f>HYPERLINK("[P Only with New retention and Differentiation.xlsx]'Lake P Results'!O74", 6.648)</f>
        <v>6.6479999999999997</v>
      </c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</row>
    <row r="979" spans="1:67" x14ac:dyDescent="0.55000000000000004">
      <c r="A979" s="31">
        <v>242</v>
      </c>
      <c r="B979" s="5" t="s">
        <v>388</v>
      </c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29">
        <f>HYPERLINK("[P Only New retention.xlsx]'Lake P Results'!AC75", 1.86)</f>
        <v>1.86</v>
      </c>
      <c r="O979" s="29">
        <f>HYPERLINK("[P Only with New retention and Differentiation.xlsx]'Lake P Results'!AC75", 1.86)</f>
        <v>1.86</v>
      </c>
      <c r="P979" s="46">
        <f>N979-M979</f>
        <v>1.86</v>
      </c>
      <c r="Q979" s="46">
        <f>O979-M979</f>
        <v>1.86</v>
      </c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29">
        <f>HYPERLINK("[P Only Old retention.xlsx]'Lake P Results'!Z75", 1.86)</f>
        <v>1.86</v>
      </c>
      <c r="AC979" s="13"/>
      <c r="AD979" s="13"/>
      <c r="AE979" s="47">
        <f>AC979-AB979</f>
        <v>-1.86</v>
      </c>
      <c r="AF979" s="47">
        <f>AD979-AB979</f>
        <v>-1.86</v>
      </c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29">
        <f>HYPERLINK("[P Only Old retention.xlsx]'Lake P Results'!M75", 39.71)</f>
        <v>39.71</v>
      </c>
      <c r="AW979" s="29">
        <f>HYPERLINK("[P Only New retention.xlsx]'Lake P Results'!M75", 39.71)</f>
        <v>39.71</v>
      </c>
      <c r="AX979" s="29">
        <f>HYPERLINK("[P Only with New retention and Differentiation.xlsx]'Lake P Results'!M75", 39.71)</f>
        <v>39.71</v>
      </c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</row>
    <row r="980" spans="1:67" x14ac:dyDescent="0.55000000000000004">
      <c r="A980" s="30">
        <v>248</v>
      </c>
      <c r="B980" s="6" t="s">
        <v>389</v>
      </c>
      <c r="C980" s="27">
        <f>HYPERLINK("[P Only Old retention.xlsx]'Lake P Results'!AE76", 0.0999999999999998)</f>
        <v>9.9999999999999797E-2</v>
      </c>
      <c r="D980" s="27">
        <f>HYPERLINK("[P Only New retention.xlsx]'Lake P Results'!AE76", 0.0999999999999998)</f>
        <v>9.9999999999999797E-2</v>
      </c>
      <c r="E980" s="27">
        <f>HYPERLINK("[P Only with New retention and Differentiation.xlsx]'Lake P Results'!AE76", 0.0999999999999998)</f>
        <v>9.9999999999999797E-2</v>
      </c>
      <c r="F980" s="18"/>
      <c r="G980" s="18"/>
      <c r="H980" s="26">
        <f>HYPERLINK("[P Only Old retention.xlsx]'Lake P Results'!AM76", 100)</f>
        <v>100</v>
      </c>
      <c r="I980" s="26">
        <f>HYPERLINK("[P Only New retention.xlsx]'Lake P Results'!AM76", 100)</f>
        <v>100</v>
      </c>
      <c r="J980" s="26">
        <f>HYPERLINK("[P Only with New retention and Differentiation.xlsx]'Lake P Results'!AM76", 100)</f>
        <v>100</v>
      </c>
      <c r="K980" s="18"/>
      <c r="L980" s="18"/>
      <c r="M980" s="27">
        <f>HYPERLINK("[P Only Old retention.xlsx]'Lake P Results'!AC76", 53.882)</f>
        <v>53.881999999999998</v>
      </c>
      <c r="N980" s="27">
        <f>HYPERLINK("[P Only New retention.xlsx]'Lake P Results'!AC76", 51.108)</f>
        <v>51.107999999999997</v>
      </c>
      <c r="O980" s="27">
        <f>HYPERLINK("[P Only with New retention and Differentiation.xlsx]'Lake P Results'!AC76", 49.88)</f>
        <v>49.88</v>
      </c>
      <c r="P980" s="47">
        <f>N980-M980</f>
        <v>-2.7740000000000009</v>
      </c>
      <c r="Q980" s="47">
        <f>O980-M980</f>
        <v>-4.0019999999999953</v>
      </c>
      <c r="R980" s="27">
        <f>HYPERLINK("[P Only Old retention.xlsx]'Lake P Results'!Y76", 18.33)</f>
        <v>18.329999999999998</v>
      </c>
      <c r="S980" s="27">
        <f>HYPERLINK("[P Only New retention.xlsx]'Lake P Results'!Y76", 15.804)</f>
        <v>15.804</v>
      </c>
      <c r="T980" s="27">
        <f>HYPERLINK("[P Only with New retention and Differentiation.xlsx]'Lake P Results'!Y76", 11.052)</f>
        <v>11.052</v>
      </c>
      <c r="U980" s="47">
        <f>S980-R980</f>
        <v>-2.525999999999998</v>
      </c>
      <c r="V980" s="47">
        <f>T980-R980</f>
        <v>-7.2779999999999987</v>
      </c>
      <c r="W980" s="27">
        <f>HYPERLINK("[P Only Old retention.xlsx]'Lake P Results'!V76", 4.92)</f>
        <v>4.92</v>
      </c>
      <c r="X980" s="27">
        <f>HYPERLINK("[P Only New retention.xlsx]'Lake P Results'!V76", 4.92)</f>
        <v>4.92</v>
      </c>
      <c r="Y980" s="27">
        <f>HYPERLINK("[P Only with New retention and Differentiation.xlsx]'Lake P Results'!V76", 4.92)</f>
        <v>4.92</v>
      </c>
      <c r="Z980" s="18"/>
      <c r="AA980" s="18"/>
      <c r="AB980" s="27">
        <f>HYPERLINK("[P Only Old retention.xlsx]'Lake P Results'!Z76", 10.15)</f>
        <v>10.15</v>
      </c>
      <c r="AC980" s="27">
        <f>HYPERLINK("[P Only New retention.xlsx]'Lake P Results'!Z76", 11.66)</f>
        <v>11.66</v>
      </c>
      <c r="AD980" s="27">
        <f>HYPERLINK("[P Only with New retention and Differentiation.xlsx]'Lake P Results'!Z76", 17.64)</f>
        <v>17.64</v>
      </c>
      <c r="AE980" s="46">
        <f>AC980-AB980</f>
        <v>1.5099999999999998</v>
      </c>
      <c r="AF980" s="46">
        <f>AD980-AB980</f>
        <v>7.49</v>
      </c>
      <c r="AG980" s="27">
        <f>HYPERLINK("[P Only Old retention.xlsx]'Lake P Results'!AA76", 18.892)</f>
        <v>18.891999999999999</v>
      </c>
      <c r="AH980" s="27">
        <f>HYPERLINK("[P Only New retention.xlsx]'Lake P Results'!AA76", 17.752)</f>
        <v>17.751999999999999</v>
      </c>
      <c r="AI980" s="27">
        <f>HYPERLINK("[P Only with New retention and Differentiation.xlsx]'Lake P Results'!AA76", 18.892)</f>
        <v>18.891999999999999</v>
      </c>
      <c r="AJ980" s="47">
        <f>AH980-AG980</f>
        <v>-1.1400000000000006</v>
      </c>
      <c r="AK980" s="18"/>
      <c r="AL980" s="18"/>
      <c r="AM980" s="18"/>
      <c r="AN980" s="18"/>
      <c r="AO980" s="18"/>
      <c r="AP980" s="18"/>
      <c r="AQ980" s="26">
        <f>HYPERLINK("[P Only Old retention.xlsx]'Lake P Results'!AH76", 100)</f>
        <v>100</v>
      </c>
      <c r="AR980" s="26">
        <f>HYPERLINK("[P Only New retention.xlsx]'Lake P Results'!AH76", 100)</f>
        <v>100</v>
      </c>
      <c r="AS980" s="26">
        <f>HYPERLINK("[P Only with New retention and Differentiation.xlsx]'Lake P Results'!AH76", 100)</f>
        <v>100</v>
      </c>
      <c r="AT980" s="18"/>
      <c r="AU980" s="18"/>
      <c r="AV980" s="27">
        <f>HYPERLINK("[P Only Old retention.xlsx]'Lake P Results'!M76", 10.92)</f>
        <v>10.92</v>
      </c>
      <c r="AW980" s="27">
        <f>HYPERLINK("[P Only New retention.xlsx]'Lake P Results'!M76", 10.92)</f>
        <v>10.92</v>
      </c>
      <c r="AX980" s="27">
        <f>HYPERLINK("[P Only with New retention and Differentiation.xlsx]'Lake P Results'!M76", 10.92)</f>
        <v>10.92</v>
      </c>
      <c r="AY980" s="18"/>
      <c r="AZ980" s="18"/>
      <c r="BA980" s="27">
        <f>HYPERLINK("[P Only Old retention.xlsx]'Lake P Results'!O76", 3.28)</f>
        <v>3.28</v>
      </c>
      <c r="BB980" s="27">
        <f>HYPERLINK("[P Only New retention.xlsx]'Lake P Results'!O76", 3.28)</f>
        <v>3.28</v>
      </c>
      <c r="BC980" s="27">
        <f>HYPERLINK("[P Only with New retention and Differentiation.xlsx]'Lake P Results'!O76", 3.28)</f>
        <v>3.28</v>
      </c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</row>
    <row r="981" spans="1:67" x14ac:dyDescent="0.55000000000000004">
      <c r="A981" s="31">
        <v>252</v>
      </c>
      <c r="B981" s="5" t="s">
        <v>390</v>
      </c>
      <c r="C981" s="13"/>
      <c r="D981" s="13"/>
      <c r="E981" s="13"/>
      <c r="F981" s="13"/>
      <c r="G981" s="13"/>
      <c r="H981" s="28">
        <f>HYPERLINK("[P Only Old retention.xlsx]'Lake P Results'!AM77", 800)</f>
        <v>800</v>
      </c>
      <c r="I981" s="28">
        <f>HYPERLINK("[P Only New retention.xlsx]'Lake P Results'!AM77", 800)</f>
        <v>800</v>
      </c>
      <c r="J981" s="28">
        <f>HYPERLINK("[P Only with New retention and Differentiation.xlsx]'Lake P Results'!AM77", 800)</f>
        <v>800</v>
      </c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29">
        <f>HYPERLINK("[P Only Old retention.xlsx]'Lake P Results'!O77", 33.99)</f>
        <v>33.99</v>
      </c>
      <c r="BB981" s="29">
        <f>HYPERLINK("[P Only New retention.xlsx]'Lake P Results'!O77", 33.99)</f>
        <v>33.99</v>
      </c>
      <c r="BC981" s="29">
        <f>HYPERLINK("[P Only with New retention and Differentiation.xlsx]'Lake P Results'!O77", 33.99)</f>
        <v>33.99</v>
      </c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</row>
    <row r="982" spans="1:67" x14ac:dyDescent="0.55000000000000004">
      <c r="A982" s="30">
        <v>255</v>
      </c>
      <c r="B982" s="6" t="s">
        <v>391</v>
      </c>
      <c r="C982" s="18"/>
      <c r="D982" s="18"/>
      <c r="E982" s="18"/>
      <c r="F982" s="18"/>
      <c r="G982" s="18"/>
      <c r="H982" s="26">
        <f>HYPERLINK("[P Only Old retention.xlsx]'Lake P Results'!AM78", 2500)</f>
        <v>2500</v>
      </c>
      <c r="I982" s="26">
        <f>HYPERLINK("[P Only New retention.xlsx]'Lake P Results'!AM78", 2500)</f>
        <v>2500</v>
      </c>
      <c r="J982" s="26">
        <f>HYPERLINK("[P Only with New retention and Differentiation.xlsx]'Lake P Results'!AM78", 2500)</f>
        <v>2500</v>
      </c>
      <c r="K982" s="18"/>
      <c r="L982" s="18"/>
      <c r="M982" s="27">
        <f>HYPERLINK("[P Only Old retention.xlsx]'Lake P Results'!AC78", 11.98)</f>
        <v>11.98</v>
      </c>
      <c r="N982" s="27">
        <f>HYPERLINK("[P Only New retention.xlsx]'Lake P Results'!AC78", 6.5)</f>
        <v>6.5</v>
      </c>
      <c r="O982" s="27">
        <f>HYPERLINK("[P Only with New retention and Differentiation.xlsx]'Lake P Results'!AC78", 1.04)</f>
        <v>1.04</v>
      </c>
      <c r="P982" s="47">
        <f>N982-M982</f>
        <v>-5.48</v>
      </c>
      <c r="Q982" s="47">
        <f>O982-M982</f>
        <v>-10.940000000000001</v>
      </c>
      <c r="R982" s="18"/>
      <c r="S982" s="27">
        <f>HYPERLINK("[P Only New retention.xlsx]'Lake P Results'!Y78", 5.48)</f>
        <v>5.48</v>
      </c>
      <c r="T982" s="27">
        <f>HYPERLINK("[P Only with New retention and Differentiation.xlsx]'Lake P Results'!Y78", 5.46)</f>
        <v>5.46</v>
      </c>
      <c r="U982" s="46">
        <f>S982-R982</f>
        <v>5.48</v>
      </c>
      <c r="V982" s="46">
        <f>T982-R982</f>
        <v>5.46</v>
      </c>
      <c r="W982" s="18"/>
      <c r="X982" s="18"/>
      <c r="Y982" s="18"/>
      <c r="Z982" s="18"/>
      <c r="AA982" s="18"/>
      <c r="AB982" s="18"/>
      <c r="AC982" s="18"/>
      <c r="AD982" s="27">
        <f>HYPERLINK("[P Only with New retention and Differentiation.xlsx]'Lake P Results'!Z78", 5.48)</f>
        <v>5.48</v>
      </c>
      <c r="AE982" s="18"/>
      <c r="AF982" s="46">
        <f>AD982-AB982</f>
        <v>5.48</v>
      </c>
      <c r="AG982" s="27">
        <f>HYPERLINK("[P Only Old retention.xlsx]'Lake P Results'!AA78", 1.45)</f>
        <v>1.45</v>
      </c>
      <c r="AH982" s="27">
        <f>HYPERLINK("[P Only New retention.xlsx]'Lake P Results'!AA78", 1.45)</f>
        <v>1.45</v>
      </c>
      <c r="AI982" s="27">
        <f>HYPERLINK("[P Only with New retention and Differentiation.xlsx]'Lake P Results'!AA78", 1.45)</f>
        <v>1.45</v>
      </c>
      <c r="AJ982" s="18"/>
      <c r="AK982" s="18"/>
      <c r="AL982" s="18"/>
      <c r="AM982" s="18"/>
      <c r="AN982" s="18"/>
      <c r="AO982" s="18"/>
      <c r="AP982" s="18"/>
      <c r="AQ982" s="26">
        <f>HYPERLINK("[P Only Old retention.xlsx]'Lake P Results'!AH78", 20)</f>
        <v>20</v>
      </c>
      <c r="AR982" s="26">
        <f>HYPERLINK("[P Only New retention.xlsx]'Lake P Results'!AH78", 20)</f>
        <v>20</v>
      </c>
      <c r="AS982" s="26">
        <f>HYPERLINK("[P Only with New retention and Differentiation.xlsx]'Lake P Results'!AH78", 20)</f>
        <v>20</v>
      </c>
      <c r="AT982" s="18"/>
      <c r="AU982" s="18"/>
      <c r="AV982" s="18"/>
      <c r="AW982" s="18"/>
      <c r="AX982" s="18"/>
      <c r="AY982" s="18"/>
      <c r="AZ982" s="18"/>
      <c r="BA982" s="27">
        <f>HYPERLINK("[P Only Old retention.xlsx]'Lake P Results'!O78", 72.488)</f>
        <v>72.488</v>
      </c>
      <c r="BB982" s="27">
        <f>HYPERLINK("[P Only New retention.xlsx]'Lake P Results'!O78", 72.488)</f>
        <v>72.488</v>
      </c>
      <c r="BC982" s="27">
        <f>HYPERLINK("[P Only with New retention and Differentiation.xlsx]'Lake P Results'!O78", 72.488)</f>
        <v>72.488</v>
      </c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</row>
    <row r="983" spans="1:67" x14ac:dyDescent="0.55000000000000004">
      <c r="A983" s="31">
        <v>256</v>
      </c>
      <c r="B983" s="5" t="s">
        <v>392</v>
      </c>
      <c r="C983" s="13"/>
      <c r="D983" s="13"/>
      <c r="E983" s="13"/>
      <c r="F983" s="13"/>
      <c r="G983" s="13"/>
      <c r="H983" s="28">
        <f>HYPERLINK("[P Only Old retention.xlsx]'Lake P Results'!AM79", 400)</f>
        <v>400</v>
      </c>
      <c r="I983" s="28">
        <f>HYPERLINK("[P Only New retention.xlsx]'Lake P Results'!AM79", 400)</f>
        <v>400</v>
      </c>
      <c r="J983" s="28">
        <f>HYPERLINK("[P Only with New retention and Differentiation.xlsx]'Lake P Results'!AM79", 400)</f>
        <v>400</v>
      </c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</row>
    <row r="984" spans="1:67" x14ac:dyDescent="0.55000000000000004">
      <c r="A984" s="30">
        <v>258</v>
      </c>
      <c r="B984" s="6" t="s">
        <v>393</v>
      </c>
      <c r="C984" s="27">
        <f>HYPERLINK("[P Only Old retention.xlsx]'Lake P Results'!AE80", 9.1592667819223)</f>
        <v>9.1592667819222999</v>
      </c>
      <c r="D984" s="27">
        <f>HYPERLINK("[P Only New retention.xlsx]'Lake P Results'!AE80", 9.0992667819223)</f>
        <v>9.0992667819222994</v>
      </c>
      <c r="E984" s="27">
        <f>HYPERLINK("[P Only with New retention and Differentiation.xlsx]'Lake P Results'!AE80", 9.1152667819223)</f>
        <v>9.1152667819222994</v>
      </c>
      <c r="F984" s="47">
        <f>D984-C984</f>
        <v>-6.0000000000000497E-2</v>
      </c>
      <c r="G984" s="47">
        <f>E984-C984</f>
        <v>-4.4000000000000483E-2</v>
      </c>
      <c r="H984" s="26">
        <f>HYPERLINK("[P Only Old retention.xlsx]'Lake P Results'!AM80", 13600)</f>
        <v>13600</v>
      </c>
      <c r="I984" s="26">
        <f>HYPERLINK("[P Only New retention.xlsx]'Lake P Results'!AM80", 13600)</f>
        <v>13600</v>
      </c>
      <c r="J984" s="26">
        <f>HYPERLINK("[P Only with New retention and Differentiation.xlsx]'Lake P Results'!AM80", 13600)</f>
        <v>13600</v>
      </c>
      <c r="K984" s="18"/>
      <c r="L984" s="18"/>
      <c r="M984" s="18"/>
      <c r="N984" s="27">
        <f>HYPERLINK("[P Only New retention.xlsx]'Lake P Results'!AC80", 0.0660000000000001)</f>
        <v>6.60000000000001E-2</v>
      </c>
      <c r="O984" s="27">
        <f>HYPERLINK("[P Only with New retention and Differentiation.xlsx]'Lake P Results'!AC80", 0.0600000000000001)</f>
        <v>6.0000000000000102E-2</v>
      </c>
      <c r="P984" s="46">
        <f>N984-M984</f>
        <v>6.60000000000001E-2</v>
      </c>
      <c r="Q984" s="46">
        <f>O984-M984</f>
        <v>6.0000000000000102E-2</v>
      </c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27">
        <f>HYPERLINK("[P Only Old retention.xlsx]'Lake P Results'!AA80", 0.780000000000001)</f>
        <v>0.78000000000000103</v>
      </c>
      <c r="AH984" s="27">
        <f>HYPERLINK("[P Only New retention.xlsx]'Lake P Results'!AA80", 6.79)</f>
        <v>6.79</v>
      </c>
      <c r="AI984" s="27">
        <f>HYPERLINK("[P Only with New retention and Differentiation.xlsx]'Lake P Results'!AA80", 6.79)</f>
        <v>6.79</v>
      </c>
      <c r="AJ984" s="46">
        <f>AH984-AG984</f>
        <v>6.0099999999999989</v>
      </c>
      <c r="AK984" s="46">
        <f>AI984-AG984</f>
        <v>6.0099999999999989</v>
      </c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</row>
    <row r="985" spans="1:67" x14ac:dyDescent="0.55000000000000004">
      <c r="A985" s="31">
        <v>260</v>
      </c>
      <c r="B985" s="5" t="s">
        <v>394</v>
      </c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</row>
    <row r="986" spans="1:67" x14ac:dyDescent="0.55000000000000004">
      <c r="A986" s="30">
        <v>265</v>
      </c>
      <c r="B986" s="6" t="s">
        <v>395</v>
      </c>
      <c r="C986" s="27">
        <f>HYPERLINK("[P Only Old retention.xlsx]'Lake P Results'!AE82", 4.978)</f>
        <v>4.9779999999999998</v>
      </c>
      <c r="D986" s="27">
        <f>HYPERLINK("[P Only New retention.xlsx]'Lake P Results'!AE82", 4.978)</f>
        <v>4.9779999999999998</v>
      </c>
      <c r="E986" s="27">
        <f>HYPERLINK("[P Only with New retention and Differentiation.xlsx]'Lake P Results'!AE82", 4.978)</f>
        <v>4.9779999999999998</v>
      </c>
      <c r="F986" s="18"/>
      <c r="G986" s="18"/>
      <c r="H986" s="26">
        <f>HYPERLINK("[P Only Old retention.xlsx]'Lake P Results'!AM82", 13500)</f>
        <v>13500</v>
      </c>
      <c r="I986" s="26">
        <f>HYPERLINK("[P Only New retention.xlsx]'Lake P Results'!AM82", 13500)</f>
        <v>13500</v>
      </c>
      <c r="J986" s="26">
        <f>HYPERLINK("[P Only with New retention and Differentiation.xlsx]'Lake P Results'!AM82", 13500)</f>
        <v>13500</v>
      </c>
      <c r="K986" s="18"/>
      <c r="L986" s="18"/>
      <c r="M986" s="27">
        <f>HYPERLINK("[P Only Old retention.xlsx]'Lake P Results'!AC82", 0.62)</f>
        <v>0.62</v>
      </c>
      <c r="N986" s="27">
        <f>HYPERLINK("[P Only New retention.xlsx]'Lake P Results'!AC82", 0.62)</f>
        <v>0.62</v>
      </c>
      <c r="O986" s="27">
        <f>HYPERLINK("[P Only with New retention and Differentiation.xlsx]'Lake P Results'!AC82", 0.62)</f>
        <v>0.62</v>
      </c>
      <c r="P986" s="18"/>
      <c r="Q986" s="18"/>
      <c r="R986" s="27">
        <f>HYPERLINK("[P Only Old retention.xlsx]'Lake P Results'!Y82", 8.03)</f>
        <v>8.0299999999999994</v>
      </c>
      <c r="S986" s="27">
        <f>HYPERLINK("[P Only New retention.xlsx]'Lake P Results'!Y82", 8.03)</f>
        <v>8.0299999999999994</v>
      </c>
      <c r="T986" s="27">
        <f>HYPERLINK("[P Only with New retention and Differentiation.xlsx]'Lake P Results'!Y82", 8.03)</f>
        <v>8.0299999999999994</v>
      </c>
      <c r="U986" s="18"/>
      <c r="V986" s="18"/>
      <c r="W986" s="18"/>
      <c r="X986" s="18"/>
      <c r="Y986" s="18"/>
      <c r="Z986" s="18"/>
      <c r="AA986" s="18"/>
      <c r="AB986" s="27">
        <f>HYPERLINK("[P Only Old retention.xlsx]'Lake P Results'!Z82", 3.19)</f>
        <v>3.19</v>
      </c>
      <c r="AC986" s="27">
        <f>HYPERLINK("[P Only New retention.xlsx]'Lake P Results'!Z82", 3.19)</f>
        <v>3.19</v>
      </c>
      <c r="AD986" s="27">
        <f>HYPERLINK("[P Only with New retention and Differentiation.xlsx]'Lake P Results'!Z82", 3.19)</f>
        <v>3.19</v>
      </c>
      <c r="AE986" s="18"/>
      <c r="AF986" s="18"/>
      <c r="AG986" s="18"/>
      <c r="AH986" s="18"/>
      <c r="AI986" s="18"/>
      <c r="AJ986" s="18"/>
      <c r="AK986" s="18"/>
      <c r="AL986" s="27">
        <f>HYPERLINK("[P Only Old retention.xlsx]'Lake P Results'!AF82", 0.51)</f>
        <v>0.51</v>
      </c>
      <c r="AM986" s="27">
        <f>HYPERLINK("[P Only New retention.xlsx]'Lake P Results'!AF82", 0.51)</f>
        <v>0.51</v>
      </c>
      <c r="AN986" s="27">
        <f>HYPERLINK("[P Only with New retention and Differentiation.xlsx]'Lake P Results'!AF82", 0.51)</f>
        <v>0.51</v>
      </c>
      <c r="AO986" s="18"/>
      <c r="AP986" s="18"/>
      <c r="AQ986" s="26">
        <f>HYPERLINK("[P Only Old retention.xlsx]'Lake P Results'!AH82", 1259.99999999991)</f>
        <v>1259.99999999991</v>
      </c>
      <c r="AR986" s="26">
        <f>HYPERLINK("[P Only New retention.xlsx]'Lake P Results'!AH82", 1259.99999999991)</f>
        <v>1259.99999999991</v>
      </c>
      <c r="AS986" s="26">
        <f>HYPERLINK("[P Only with New retention and Differentiation.xlsx]'Lake P Results'!AH82", 1259.99999999991)</f>
        <v>1259.99999999991</v>
      </c>
      <c r="AT986" s="18"/>
      <c r="AU986" s="18"/>
      <c r="AV986" s="18"/>
      <c r="AW986" s="18"/>
      <c r="AX986" s="18"/>
      <c r="AY986" s="18"/>
      <c r="AZ986" s="18"/>
      <c r="BA986" s="27">
        <f>HYPERLINK("[P Only Old retention.xlsx]'Lake P Results'!O82", 1240.446)</f>
        <v>1240.4459999999999</v>
      </c>
      <c r="BB986" s="27">
        <f>HYPERLINK("[P Only New retention.xlsx]'Lake P Results'!O82", 1240.446)</f>
        <v>1240.4459999999999</v>
      </c>
      <c r="BC986" s="27">
        <f>HYPERLINK("[P Only with New retention and Differentiation.xlsx]'Lake P Results'!O82", 1240.446)</f>
        <v>1240.4459999999999</v>
      </c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</row>
    <row r="987" spans="1:67" x14ac:dyDescent="0.55000000000000004">
      <c r="A987" s="31">
        <v>268</v>
      </c>
      <c r="B987" s="5" t="s">
        <v>396</v>
      </c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</row>
    <row r="988" spans="1:67" x14ac:dyDescent="0.55000000000000004">
      <c r="A988" s="30">
        <v>269</v>
      </c>
      <c r="B988" s="6" t="s">
        <v>397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</row>
    <row r="989" spans="1:67" x14ac:dyDescent="0.55000000000000004">
      <c r="A989" s="31">
        <v>270</v>
      </c>
      <c r="B989" s="5" t="s">
        <v>398</v>
      </c>
      <c r="C989" s="13"/>
      <c r="D989" s="13"/>
      <c r="E989" s="13"/>
      <c r="F989" s="13"/>
      <c r="G989" s="13"/>
      <c r="H989" s="28">
        <f>HYPERLINK("[P Only Old retention.xlsx]'Lake P Results'!AM85", 1400)</f>
        <v>1400</v>
      </c>
      <c r="I989" s="28">
        <f>HYPERLINK("[P Only New retention.xlsx]'Lake P Results'!AM85", 1400)</f>
        <v>1400</v>
      </c>
      <c r="J989" s="28">
        <f>HYPERLINK("[P Only with New retention and Differentiation.xlsx]'Lake P Results'!AM85", 1300)</f>
        <v>1300</v>
      </c>
      <c r="K989" s="13"/>
      <c r="L989" s="21">
        <f>J989-H989</f>
        <v>-100</v>
      </c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</row>
    <row r="990" spans="1:67" x14ac:dyDescent="0.55000000000000004">
      <c r="A990" s="30">
        <v>271</v>
      </c>
      <c r="B990" s="6" t="s">
        <v>399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</row>
    <row r="991" spans="1:67" x14ac:dyDescent="0.55000000000000004">
      <c r="A991" s="31">
        <v>273</v>
      </c>
      <c r="B991" s="5" t="s">
        <v>400</v>
      </c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</row>
    <row r="992" spans="1:67" x14ac:dyDescent="0.55000000000000004">
      <c r="A992" s="30">
        <v>274</v>
      </c>
      <c r="B992" s="6" t="s">
        <v>401</v>
      </c>
      <c r="C992" s="18"/>
      <c r="D992" s="18"/>
      <c r="E992" s="18"/>
      <c r="F992" s="18"/>
      <c r="G992" s="18"/>
      <c r="H992" s="26">
        <f>HYPERLINK("[P Only Old retention.xlsx]'Lake P Results'!AM88", 4000)</f>
        <v>4000</v>
      </c>
      <c r="I992" s="26">
        <f>HYPERLINK("[P Only New retention.xlsx]'Lake P Results'!AM88", 3900)</f>
        <v>3900</v>
      </c>
      <c r="J992" s="26">
        <f>HYPERLINK("[P Only with New retention and Differentiation.xlsx]'Lake P Results'!AM88", 3900)</f>
        <v>3900</v>
      </c>
      <c r="K992" s="21">
        <f>I992-H992</f>
        <v>-100</v>
      </c>
      <c r="L992" s="21">
        <f>J992-H992</f>
        <v>-100</v>
      </c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</row>
    <row r="993" spans="1:67" x14ac:dyDescent="0.55000000000000004">
      <c r="A993" s="31">
        <v>285</v>
      </c>
      <c r="B993" s="5" t="s">
        <v>402</v>
      </c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</row>
    <row r="994" spans="1:67" x14ac:dyDescent="0.55000000000000004">
      <c r="A994" s="30">
        <v>286</v>
      </c>
      <c r="B994" s="6" t="s">
        <v>403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</row>
    <row r="995" spans="1:67" x14ac:dyDescent="0.55000000000000004">
      <c r="A995" s="31">
        <v>290</v>
      </c>
      <c r="B995" s="5" t="s">
        <v>404</v>
      </c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</row>
    <row r="996" spans="1:67" x14ac:dyDescent="0.55000000000000004">
      <c r="A996" s="30">
        <v>294</v>
      </c>
      <c r="B996" s="6" t="s">
        <v>405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</row>
    <row r="997" spans="1:67" x14ac:dyDescent="0.55000000000000004">
      <c r="A997" s="31">
        <v>295</v>
      </c>
      <c r="B997" s="5" t="s">
        <v>406</v>
      </c>
      <c r="C997" s="13"/>
      <c r="D997" s="13"/>
      <c r="E997" s="13"/>
      <c r="F997" s="13"/>
      <c r="G997" s="13"/>
      <c r="H997" s="28">
        <f>HYPERLINK("[P Only Old retention.xlsx]'Lake P Results'!AM93", 5700)</f>
        <v>5700</v>
      </c>
      <c r="I997" s="28">
        <f>HYPERLINK("[P Only New retention.xlsx]'Lake P Results'!AM93", 5500)</f>
        <v>5500</v>
      </c>
      <c r="J997" s="28">
        <f>HYPERLINK("[P Only with New retention and Differentiation.xlsx]'Lake P Results'!AM93", 5800)</f>
        <v>5800</v>
      </c>
      <c r="K997" s="21">
        <f>I997-H997</f>
        <v>-200</v>
      </c>
      <c r="L997" s="16">
        <f>J997-H997</f>
        <v>100</v>
      </c>
      <c r="M997" s="29">
        <f>HYPERLINK("[P Only Old retention.xlsx]'Lake P Results'!AC93", 2.77)</f>
        <v>2.77</v>
      </c>
      <c r="N997" s="13"/>
      <c r="O997" s="29">
        <f>HYPERLINK("[P Only with New retention and Differentiation.xlsx]'Lake P Results'!AC93", 4.47)</f>
        <v>4.47</v>
      </c>
      <c r="P997" s="47">
        <f>N997-M997</f>
        <v>-2.77</v>
      </c>
      <c r="Q997" s="46">
        <f>O997-M997</f>
        <v>1.6999999999999997</v>
      </c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29">
        <f>HYPERLINK("[P Only Old retention.xlsx]'Lake P Results'!Z93", 2.62)</f>
        <v>2.62</v>
      </c>
      <c r="AC997" s="13"/>
      <c r="AD997" s="13"/>
      <c r="AE997" s="47">
        <f>AC997-AB997</f>
        <v>-2.62</v>
      </c>
      <c r="AF997" s="47">
        <f>AD997-AB997</f>
        <v>-2.62</v>
      </c>
      <c r="AG997" s="29">
        <f>HYPERLINK("[P Only Old retention.xlsx]'Lake P Results'!AA93", 8.916)</f>
        <v>8.9160000000000004</v>
      </c>
      <c r="AH997" s="29">
        <f>HYPERLINK("[P Only New retention.xlsx]'Lake P Results'!AA93", 12.896)</f>
        <v>12.896000000000001</v>
      </c>
      <c r="AI997" s="29">
        <f>HYPERLINK("[P Only with New retention and Differentiation.xlsx]'Lake P Results'!AA93", 8.916)</f>
        <v>8.9160000000000004</v>
      </c>
      <c r="AJ997" s="46">
        <f>AH997-AG997</f>
        <v>3.9800000000000004</v>
      </c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29">
        <f>HYPERLINK("[P Only Old retention.xlsx]'Lake P Results'!O93", 5.43)</f>
        <v>5.43</v>
      </c>
      <c r="BB997" s="29">
        <f>HYPERLINK("[P Only New retention.xlsx]'Lake P Results'!O93", 5.43)</f>
        <v>5.43</v>
      </c>
      <c r="BC997" s="29">
        <f>HYPERLINK("[P Only with New retention and Differentiation.xlsx]'Lake P Results'!O93", 5.43)</f>
        <v>5.43</v>
      </c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</row>
    <row r="998" spans="1:67" x14ac:dyDescent="0.55000000000000004">
      <c r="A998" s="30">
        <v>296</v>
      </c>
      <c r="B998" s="6" t="s">
        <v>407</v>
      </c>
      <c r="C998" s="27">
        <f>HYPERLINK("[P Only Old retention.xlsx]'Lake P Results'!AE94", 5.696)</f>
        <v>5.6959999999999997</v>
      </c>
      <c r="D998" s="27">
        <f>HYPERLINK("[P Only New retention.xlsx]'Lake P Results'!AE94", 5.696)</f>
        <v>5.6959999999999997</v>
      </c>
      <c r="E998" s="27">
        <f>HYPERLINK("[P Only with New retention and Differentiation.xlsx]'Lake P Results'!AE94", 5.696)</f>
        <v>5.6959999999999997</v>
      </c>
      <c r="F998" s="18"/>
      <c r="G998" s="18"/>
      <c r="H998" s="26">
        <f>HYPERLINK("[P Only Old retention.xlsx]'Lake P Results'!AM94", 45900)</f>
        <v>45900</v>
      </c>
      <c r="I998" s="26">
        <f>HYPERLINK("[P Only New retention.xlsx]'Lake P Results'!AM94", 45900)</f>
        <v>45900</v>
      </c>
      <c r="J998" s="26">
        <f>HYPERLINK("[P Only with New retention and Differentiation.xlsx]'Lake P Results'!AM94", 45900)</f>
        <v>45900</v>
      </c>
      <c r="K998" s="18"/>
      <c r="L998" s="18"/>
      <c r="M998" s="27">
        <f>HYPERLINK("[P Only Old retention.xlsx]'Lake P Results'!AC94", 873.93)</f>
        <v>873.93</v>
      </c>
      <c r="N998" s="27">
        <f>HYPERLINK("[P Only New retention.xlsx]'Lake P Results'!AC94", 860.724)</f>
        <v>860.72400000000005</v>
      </c>
      <c r="O998" s="27">
        <f>HYPERLINK("[P Only with New retention and Differentiation.xlsx]'Lake P Results'!AC94", 905.858)</f>
        <v>905.85799999999995</v>
      </c>
      <c r="P998" s="47">
        <f>N998-M998</f>
        <v>-13.205999999999904</v>
      </c>
      <c r="Q998" s="46">
        <f>O998-M998</f>
        <v>31.927999999999997</v>
      </c>
      <c r="R998" s="27">
        <f>HYPERLINK("[P Only Old retention.xlsx]'Lake P Results'!Y94", 134.784)</f>
        <v>134.78399999999999</v>
      </c>
      <c r="S998" s="27">
        <f>HYPERLINK("[P Only New retention.xlsx]'Lake P Results'!Y94", 120.11)</f>
        <v>120.11</v>
      </c>
      <c r="T998" s="27">
        <f>HYPERLINK("[P Only with New retention and Differentiation.xlsx]'Lake P Results'!Y94", 145.73)</f>
        <v>145.72999999999999</v>
      </c>
      <c r="U998" s="47">
        <f>S998-R998</f>
        <v>-14.673999999999992</v>
      </c>
      <c r="V998" s="46">
        <f>T998-R998</f>
        <v>10.945999999999998</v>
      </c>
      <c r="W998" s="27">
        <f>HYPERLINK("[P Only Old retention.xlsx]'Lake P Results'!V94", 347.83)</f>
        <v>347.83</v>
      </c>
      <c r="X998" s="27">
        <f>HYPERLINK("[P Only New retention.xlsx]'Lake P Results'!V94", 347.83)</f>
        <v>347.83</v>
      </c>
      <c r="Y998" s="27">
        <f>HYPERLINK("[P Only with New retention and Differentiation.xlsx]'Lake P Results'!V94", 347.83)</f>
        <v>347.83</v>
      </c>
      <c r="Z998" s="18"/>
      <c r="AA998" s="18"/>
      <c r="AB998" s="27">
        <f>HYPERLINK("[P Only Old retention.xlsx]'Lake P Results'!Z94", 131.098)</f>
        <v>131.09800000000001</v>
      </c>
      <c r="AC998" s="27">
        <f>HYPERLINK("[P Only New retention.xlsx]'Lake P Results'!Z94", 170.608)</f>
        <v>170.608</v>
      </c>
      <c r="AD998" s="27">
        <f>HYPERLINK("[P Only with New retention and Differentiation.xlsx]'Lake P Results'!Z94", 99.854)</f>
        <v>99.853999999999999</v>
      </c>
      <c r="AE998" s="46">
        <f>AC998-AB998</f>
        <v>39.509999999999991</v>
      </c>
      <c r="AF998" s="47">
        <f>AD998-AB998</f>
        <v>-31.244000000000014</v>
      </c>
      <c r="AG998" s="27">
        <f>HYPERLINK("[P Only Old retention.xlsx]'Lake P Results'!AA94", 93.444)</f>
        <v>93.444000000000003</v>
      </c>
      <c r="AH998" s="27">
        <f>HYPERLINK("[P Only New retention.xlsx]'Lake P Results'!AA94", 100.644)</f>
        <v>100.64400000000001</v>
      </c>
      <c r="AI998" s="27">
        <f>HYPERLINK("[P Only with New retention and Differentiation.xlsx]'Lake P Results'!AA94", 100.644)</f>
        <v>100.64400000000001</v>
      </c>
      <c r="AJ998" s="46">
        <f>AH998-AG998</f>
        <v>7.2000000000000028</v>
      </c>
      <c r="AK998" s="46">
        <f>AI998-AG998</f>
        <v>7.2000000000000028</v>
      </c>
      <c r="AL998" s="27">
        <f>HYPERLINK("[P Only Old retention.xlsx]'Lake P Results'!AF94", 0.08)</f>
        <v>0.08</v>
      </c>
      <c r="AM998" s="27">
        <f>HYPERLINK("[P Only New retention.xlsx]'Lake P Results'!AF94", 0.08)</f>
        <v>0.08</v>
      </c>
      <c r="AN998" s="27">
        <f>HYPERLINK("[P Only with New retention and Differentiation.xlsx]'Lake P Results'!AF94", 0.08)</f>
        <v>0.08</v>
      </c>
      <c r="AO998" s="18"/>
      <c r="AP998" s="18"/>
      <c r="AQ998" s="26">
        <f>HYPERLINK("[P Only Old retention.xlsx]'Lake P Results'!AH94", 2169.99999999392)</f>
        <v>2169.99999999392</v>
      </c>
      <c r="AR998" s="26">
        <f>HYPERLINK("[P Only New retention.xlsx]'Lake P Results'!AH94", 2170)</f>
        <v>2170</v>
      </c>
      <c r="AS998" s="26">
        <f>HYPERLINK("[P Only with New retention and Differentiation.xlsx]'Lake P Results'!AH94", 2170)</f>
        <v>2170</v>
      </c>
      <c r="AT998" s="16">
        <f>AR998-AQ998</f>
        <v>6.0799720813520253E-9</v>
      </c>
      <c r="AU998" s="16">
        <f>AS998-AQ998</f>
        <v>6.0799720813520253E-9</v>
      </c>
      <c r="AV998" s="27">
        <f>HYPERLINK("[P Only Old retention.xlsx]'Lake P Results'!M94", 2005)</f>
        <v>2005</v>
      </c>
      <c r="AW998" s="27">
        <f>HYPERLINK("[P Only New retention.xlsx]'Lake P Results'!M94", 2005.33)</f>
        <v>2005.33</v>
      </c>
      <c r="AX998" s="27">
        <f>HYPERLINK("[P Only with New retention and Differentiation.xlsx]'Lake P Results'!M94", 2005.33)</f>
        <v>2005.33</v>
      </c>
      <c r="AY998" s="46">
        <f>AW998-AV998</f>
        <v>0.32999999999992724</v>
      </c>
      <c r="AZ998" s="46">
        <f>AX998-AV998</f>
        <v>0.32999999999992724</v>
      </c>
      <c r="BA998" s="27">
        <f>HYPERLINK("[P Only Old retention.xlsx]'Lake P Results'!O94", 87.68)</f>
        <v>87.68</v>
      </c>
      <c r="BB998" s="27">
        <f>HYPERLINK("[P Only New retention.xlsx]'Lake P Results'!O94", 87.68)</f>
        <v>87.68</v>
      </c>
      <c r="BC998" s="27">
        <f>HYPERLINK("[P Only with New retention and Differentiation.xlsx]'Lake P Results'!O94", 87.68)</f>
        <v>87.68</v>
      </c>
      <c r="BD998" s="18"/>
      <c r="BE998" s="18"/>
      <c r="BF998" s="18"/>
      <c r="BG998" s="18"/>
      <c r="BH998" s="18"/>
      <c r="BI998" s="18"/>
      <c r="BJ998" s="18"/>
      <c r="BK998" s="18"/>
      <c r="BL998" s="18"/>
      <c r="BM998" s="18"/>
      <c r="BN998" s="18"/>
      <c r="BO998" s="18"/>
    </row>
    <row r="999" spans="1:67" x14ac:dyDescent="0.55000000000000004">
      <c r="A999" s="31">
        <v>297</v>
      </c>
      <c r="B999" s="5" t="s">
        <v>408</v>
      </c>
      <c r="C999" s="13"/>
      <c r="D999" s="13"/>
      <c r="E999" s="13"/>
      <c r="F999" s="13"/>
      <c r="G999" s="13"/>
      <c r="H999" s="28">
        <f>HYPERLINK("[P Only Old retention.xlsx]'Lake P Results'!AM95", 7400)</f>
        <v>7400</v>
      </c>
      <c r="I999" s="28">
        <f>HYPERLINK("[P Only New retention.xlsx]'Lake P Results'!AM95", 7400)</f>
        <v>7400</v>
      </c>
      <c r="J999" s="28">
        <f>HYPERLINK("[P Only with New retention and Differentiation.xlsx]'Lake P Results'!AM95", 7400)</f>
        <v>7400</v>
      </c>
      <c r="K999" s="13"/>
      <c r="L999" s="13"/>
      <c r="M999" s="29">
        <f>HYPERLINK("[P Only Old retention.xlsx]'Lake P Results'!AC95", 17.818)</f>
        <v>17.818000000000001</v>
      </c>
      <c r="N999" s="29">
        <f>HYPERLINK("[P Only New retention.xlsx]'Lake P Results'!AC95", 35.07)</f>
        <v>35.07</v>
      </c>
      <c r="O999" s="29">
        <f>HYPERLINK("[P Only with New retention and Differentiation.xlsx]'Lake P Results'!AC95", 26.676)</f>
        <v>26.675999999999998</v>
      </c>
      <c r="P999" s="46">
        <f>N999-M999</f>
        <v>17.251999999999999</v>
      </c>
      <c r="Q999" s="46">
        <f>O999-M999</f>
        <v>8.857999999999997</v>
      </c>
      <c r="R999" s="29">
        <f>HYPERLINK("[P Only Old retention.xlsx]'Lake P Results'!Y95", 22.7)</f>
        <v>22.7</v>
      </c>
      <c r="S999" s="29">
        <f>HYPERLINK("[P Only New retention.xlsx]'Lake P Results'!Y95", 6.614)</f>
        <v>6.6139999999999999</v>
      </c>
      <c r="T999" s="29">
        <f>HYPERLINK("[P Only with New retention and Differentiation.xlsx]'Lake P Results'!Y95", 5.184)</f>
        <v>5.1840000000000002</v>
      </c>
      <c r="U999" s="47">
        <f>S999-R999</f>
        <v>-16.085999999999999</v>
      </c>
      <c r="V999" s="47">
        <f>T999-R999</f>
        <v>-17.515999999999998</v>
      </c>
      <c r="W999" s="29">
        <f>HYPERLINK("[P Only Old retention.xlsx]'Lake P Results'!V95", 32.58)</f>
        <v>32.58</v>
      </c>
      <c r="X999" s="29">
        <f>HYPERLINK("[P Only New retention.xlsx]'Lake P Results'!V95", 32.58)</f>
        <v>32.58</v>
      </c>
      <c r="Y999" s="29">
        <f>HYPERLINK("[P Only with New retention and Differentiation.xlsx]'Lake P Results'!V95", 32.58)</f>
        <v>32.58</v>
      </c>
      <c r="Z999" s="13"/>
      <c r="AA999" s="13"/>
      <c r="AB999" s="29">
        <f>HYPERLINK("[P Only Old retention.xlsx]'Lake P Results'!Z95", 7.33)</f>
        <v>7.33</v>
      </c>
      <c r="AC999" s="29">
        <f>HYPERLINK("[P Only New retention.xlsx]'Lake P Results'!Z95", 6.164)</f>
        <v>6.1639999999999997</v>
      </c>
      <c r="AD999" s="29">
        <f>HYPERLINK("[P Only with New retention and Differentiation.xlsx]'Lake P Results'!Z95", 15.988)</f>
        <v>15.988</v>
      </c>
      <c r="AE999" s="47">
        <f>AC999-AB999</f>
        <v>-1.1660000000000004</v>
      </c>
      <c r="AF999" s="46">
        <f>AD999-AB999</f>
        <v>8.6579999999999995</v>
      </c>
      <c r="AG999" s="29">
        <f>HYPERLINK("[P Only Old retention.xlsx]'Lake P Results'!AA95", 15.502)</f>
        <v>15.502000000000001</v>
      </c>
      <c r="AH999" s="29">
        <f>HYPERLINK("[P Only New retention.xlsx]'Lake P Results'!AA95", 15.502)</f>
        <v>15.502000000000001</v>
      </c>
      <c r="AI999" s="29">
        <f>HYPERLINK("[P Only with New retention and Differentiation.xlsx]'Lake P Results'!AA95", 15.502)</f>
        <v>15.502000000000001</v>
      </c>
      <c r="AJ999" s="13"/>
      <c r="AK999" s="13"/>
      <c r="AL999" s="13"/>
      <c r="AM999" s="13"/>
      <c r="AN999" s="13"/>
      <c r="AO999" s="13"/>
      <c r="AP999" s="13"/>
      <c r="AQ999" s="28">
        <f>HYPERLINK("[P Only Old retention.xlsx]'Lake P Results'!AH95", 190)</f>
        <v>190</v>
      </c>
      <c r="AR999" s="28">
        <f>HYPERLINK("[P Only New retention.xlsx]'Lake P Results'!AH95", 190)</f>
        <v>190</v>
      </c>
      <c r="AS999" s="28">
        <f>HYPERLINK("[P Only with New retention and Differentiation.xlsx]'Lake P Results'!AH95", 190)</f>
        <v>190</v>
      </c>
      <c r="AT999" s="13"/>
      <c r="AU999" s="13"/>
      <c r="AV999" s="13"/>
      <c r="AW999" s="13"/>
      <c r="AX999" s="13"/>
      <c r="AY999" s="13"/>
      <c r="AZ999" s="13"/>
      <c r="BA999" s="29">
        <f>HYPERLINK("[P Only Old retention.xlsx]'Lake P Results'!O95", 397.068)</f>
        <v>397.06799999999998</v>
      </c>
      <c r="BB999" s="29">
        <f>HYPERLINK("[P Only New retention.xlsx]'Lake P Results'!O95", 397.068)</f>
        <v>397.06799999999998</v>
      </c>
      <c r="BC999" s="29">
        <f>HYPERLINK("[P Only with New retention and Differentiation.xlsx]'Lake P Results'!O95", 397.068)</f>
        <v>397.06799999999998</v>
      </c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</row>
    <row r="1000" spans="1:67" x14ac:dyDescent="0.55000000000000004">
      <c r="A1000" s="30">
        <v>299</v>
      </c>
      <c r="B1000" s="6" t="s">
        <v>409</v>
      </c>
      <c r="C1000" s="27">
        <f>HYPERLINK("[P Only Old retention.xlsx]'Lake P Results'!AE96", 2.41)</f>
        <v>2.41</v>
      </c>
      <c r="D1000" s="27">
        <f>HYPERLINK("[P Only New retention.xlsx]'Lake P Results'!AE96", 2.41)</f>
        <v>2.41</v>
      </c>
      <c r="E1000" s="27">
        <f>HYPERLINK("[P Only with New retention and Differentiation.xlsx]'Lake P Results'!AE96", 2.41)</f>
        <v>2.41</v>
      </c>
      <c r="F1000" s="18"/>
      <c r="G1000" s="18"/>
      <c r="H1000" s="26">
        <f>HYPERLINK("[P Only Old retention.xlsx]'Lake P Results'!AM96", 10800)</f>
        <v>10800</v>
      </c>
      <c r="I1000" s="26">
        <f>HYPERLINK("[P Only New retention.xlsx]'Lake P Results'!AM96", 10800)</f>
        <v>10800</v>
      </c>
      <c r="J1000" s="26">
        <f>HYPERLINK("[P Only with New retention and Differentiation.xlsx]'Lake P Results'!AM96", 10800)</f>
        <v>10800</v>
      </c>
      <c r="K1000" s="18"/>
      <c r="L1000" s="18"/>
      <c r="M1000" s="18"/>
      <c r="N1000" s="18"/>
      <c r="O1000" s="18"/>
      <c r="P1000" s="18"/>
      <c r="Q1000" s="18"/>
      <c r="R1000" s="27">
        <f>HYPERLINK("[P Only Old retention.xlsx]'Lake P Results'!Y96", 6.07)</f>
        <v>6.07</v>
      </c>
      <c r="S1000" s="27">
        <f>HYPERLINK("[P Only New retention.xlsx]'Lake P Results'!Y96", 5.14)</f>
        <v>5.14</v>
      </c>
      <c r="T1000" s="27">
        <f>HYPERLINK("[P Only with New retention and Differentiation.xlsx]'Lake P Results'!Y96", 6.07)</f>
        <v>6.07</v>
      </c>
      <c r="U1000" s="47">
        <f>S1000-R1000</f>
        <v>-0.9300000000000006</v>
      </c>
      <c r="V1000" s="18"/>
      <c r="W1000" s="18"/>
      <c r="X1000" s="18"/>
      <c r="Y1000" s="18"/>
      <c r="Z1000" s="18"/>
      <c r="AA1000" s="18"/>
      <c r="AB1000" s="18"/>
      <c r="AC1000" s="27">
        <f>HYPERLINK("[P Only New retention.xlsx]'Lake P Results'!Z96", 0.93)</f>
        <v>0.93</v>
      </c>
      <c r="AD1000" s="18"/>
      <c r="AE1000" s="46">
        <f>AC1000-AB1000</f>
        <v>0.93</v>
      </c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26">
        <f>HYPERLINK("[P Only Old retention.xlsx]'Lake P Results'!AH96", 479.999999999882)</f>
        <v>479.99999999988199</v>
      </c>
      <c r="AR1000" s="26">
        <f>HYPERLINK("[P Only New retention.xlsx]'Lake P Results'!AH96", 479.999999999882)</f>
        <v>479.99999999988199</v>
      </c>
      <c r="AS1000" s="26">
        <f>HYPERLINK("[P Only with New retention and Differentiation.xlsx]'Lake P Results'!AH96", 479.999999999882)</f>
        <v>479.99999999988199</v>
      </c>
      <c r="AT1000" s="18"/>
      <c r="AU1000" s="18"/>
      <c r="AV1000" s="27">
        <f>HYPERLINK("[P Only Old retention.xlsx]'Lake P Results'!M96", 20.82)</f>
        <v>20.82</v>
      </c>
      <c r="AW1000" s="27">
        <f>HYPERLINK("[P Only New retention.xlsx]'Lake P Results'!M96", 20.82)</f>
        <v>20.82</v>
      </c>
      <c r="AX1000" s="27">
        <f>HYPERLINK("[P Only with New retention and Differentiation.xlsx]'Lake P Results'!M96", 20.82)</f>
        <v>20.82</v>
      </c>
      <c r="AY1000" s="18"/>
      <c r="AZ1000" s="18"/>
      <c r="BA1000" s="27">
        <f>HYPERLINK("[P Only Old retention.xlsx]'Lake P Results'!O96", 422.962)</f>
        <v>422.96199999999999</v>
      </c>
      <c r="BB1000" s="27">
        <f>HYPERLINK("[P Only New retention.xlsx]'Lake P Results'!O96", 422.962)</f>
        <v>422.96199999999999</v>
      </c>
      <c r="BC1000" s="27">
        <f>HYPERLINK("[P Only with New retention and Differentiation.xlsx]'Lake P Results'!O96", 422.962)</f>
        <v>422.96199999999999</v>
      </c>
      <c r="BD1000" s="18"/>
      <c r="BE1000" s="18"/>
      <c r="BF1000" s="18"/>
      <c r="BG1000" s="18"/>
      <c r="BH1000" s="18"/>
      <c r="BI1000" s="18"/>
      <c r="BJ1000" s="18"/>
      <c r="BK1000" s="18"/>
      <c r="BL1000" s="18"/>
      <c r="BM1000" s="18"/>
      <c r="BN1000" s="18"/>
      <c r="BO1000" s="18"/>
    </row>
    <row r="1001" spans="1:67" x14ac:dyDescent="0.55000000000000004">
      <c r="A1001" s="31">
        <v>301</v>
      </c>
      <c r="B1001" s="5" t="s">
        <v>410</v>
      </c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</row>
    <row r="1002" spans="1:67" x14ac:dyDescent="0.55000000000000004">
      <c r="A1002" s="30">
        <v>303</v>
      </c>
      <c r="B1002" s="6" t="s">
        <v>411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  <c r="BL1002" s="18"/>
      <c r="BM1002" s="18"/>
      <c r="BN1002" s="18"/>
      <c r="BO1002" s="18"/>
    </row>
    <row r="1003" spans="1:67" x14ac:dyDescent="0.55000000000000004">
      <c r="A1003" s="31">
        <v>307</v>
      </c>
      <c r="B1003" s="5" t="s">
        <v>412</v>
      </c>
      <c r="C1003" s="29">
        <f>HYPERLINK("[P Only Old retention.xlsx]'Lake P Results'!AE99", 16.44)</f>
        <v>16.440000000000001</v>
      </c>
      <c r="D1003" s="29">
        <f>HYPERLINK("[P Only New retention.xlsx]'Lake P Results'!AE99", 17.43)</f>
        <v>17.43</v>
      </c>
      <c r="E1003" s="29">
        <f>HYPERLINK("[P Only with New retention and Differentiation.xlsx]'Lake P Results'!AE99", 16.79)</f>
        <v>16.79</v>
      </c>
      <c r="F1003" s="46">
        <f>D1003-C1003</f>
        <v>0.98999999999999844</v>
      </c>
      <c r="G1003" s="46">
        <f>E1003-C1003</f>
        <v>0.34999999999999787</v>
      </c>
      <c r="H1003" s="28">
        <f>HYPERLINK("[P Only Old retention.xlsx]'Lake P Results'!AM99", 35300)</f>
        <v>35300</v>
      </c>
      <c r="I1003" s="28">
        <f>HYPERLINK("[P Only New retention.xlsx]'Lake P Results'!AM99", 34800)</f>
        <v>34800</v>
      </c>
      <c r="J1003" s="28">
        <f>HYPERLINK("[P Only with New retention and Differentiation.xlsx]'Lake P Results'!AM99", 34800)</f>
        <v>34800</v>
      </c>
      <c r="K1003" s="21">
        <f>I1003-H1003</f>
        <v>-500</v>
      </c>
      <c r="L1003" s="21">
        <f>J1003-H1003</f>
        <v>-500</v>
      </c>
      <c r="M1003" s="29">
        <f>HYPERLINK("[P Only Old retention.xlsx]'Lake P Results'!AC99", 26.89)</f>
        <v>26.89</v>
      </c>
      <c r="N1003" s="29">
        <f>HYPERLINK("[P Only New retention.xlsx]'Lake P Results'!AC99", 2.01)</f>
        <v>2.0099999999999998</v>
      </c>
      <c r="O1003" s="29">
        <f>HYPERLINK("[P Only with New retention and Differentiation.xlsx]'Lake P Results'!AC99", 2.01)</f>
        <v>2.0099999999999998</v>
      </c>
      <c r="P1003" s="47">
        <f>N1003-M1003</f>
        <v>-24.880000000000003</v>
      </c>
      <c r="Q1003" s="47">
        <f>O1003-M1003</f>
        <v>-24.880000000000003</v>
      </c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29">
        <f>HYPERLINK("[P Only Old retention.xlsx]'Lake P Results'!Z99", 52.53)</f>
        <v>52.53</v>
      </c>
      <c r="AC1003" s="13"/>
      <c r="AD1003" s="13"/>
      <c r="AE1003" s="47">
        <f>AC1003-AB1003</f>
        <v>-52.53</v>
      </c>
      <c r="AF1003" s="47">
        <f>AD1003-AB1003</f>
        <v>-52.53</v>
      </c>
      <c r="AG1003" s="29">
        <f>HYPERLINK("[P Only Old retention.xlsx]'Lake P Results'!AA99", 47.688)</f>
        <v>47.688000000000002</v>
      </c>
      <c r="AH1003" s="29">
        <f>HYPERLINK("[P Only New retention.xlsx]'Lake P Results'!AA99", 32.328)</f>
        <v>32.328000000000003</v>
      </c>
      <c r="AI1003" s="29">
        <f>HYPERLINK("[P Only with New retention and Differentiation.xlsx]'Lake P Results'!AA99", 32.328)</f>
        <v>32.328000000000003</v>
      </c>
      <c r="AJ1003" s="47">
        <f>AH1003-AG1003</f>
        <v>-15.36</v>
      </c>
      <c r="AK1003" s="47">
        <f>AI1003-AG1003</f>
        <v>-15.36</v>
      </c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29">
        <f>HYPERLINK("[P Only Old retention.xlsx]'Lake P Results'!Q99", 1.08)</f>
        <v>1.08</v>
      </c>
      <c r="BL1003" s="29">
        <f>HYPERLINK("[P Only New retention.xlsx]'Lake P Results'!Q99", 1.08)</f>
        <v>1.08</v>
      </c>
      <c r="BM1003" s="29">
        <f>HYPERLINK("[P Only with New retention and Differentiation.xlsx]'Lake P Results'!Q99", 1.08)</f>
        <v>1.08</v>
      </c>
      <c r="BN1003" s="13"/>
      <c r="BO1003" s="13"/>
    </row>
    <row r="1004" spans="1:67" x14ac:dyDescent="0.55000000000000004">
      <c r="A1004" s="30">
        <v>308</v>
      </c>
      <c r="B1004" s="6" t="s">
        <v>413</v>
      </c>
      <c r="C1004" s="27">
        <f>HYPERLINK("[P Only Old retention.xlsx]'Lake P Results'!AE100", 4.02)</f>
        <v>4.0199999999999996</v>
      </c>
      <c r="D1004" s="27">
        <f>HYPERLINK("[P Only New retention.xlsx]'Lake P Results'!AE100", 4.02)</f>
        <v>4.0199999999999996</v>
      </c>
      <c r="E1004" s="27">
        <f>HYPERLINK("[P Only with New retention and Differentiation.xlsx]'Lake P Results'!AE100", 4.02)</f>
        <v>4.0199999999999996</v>
      </c>
      <c r="F1004" s="18"/>
      <c r="G1004" s="18"/>
      <c r="H1004" s="26">
        <f>HYPERLINK("[P Only Old retention.xlsx]'Lake P Results'!AM100", 6200)</f>
        <v>6200</v>
      </c>
      <c r="I1004" s="26">
        <f>HYPERLINK("[P Only New retention.xlsx]'Lake P Results'!AM100", 6200)</f>
        <v>6200</v>
      </c>
      <c r="J1004" s="26">
        <f>HYPERLINK("[P Only with New retention and Differentiation.xlsx]'Lake P Results'!AM100", 6200)</f>
        <v>6200</v>
      </c>
      <c r="K1004" s="18"/>
      <c r="L1004" s="18"/>
      <c r="M1004" s="27">
        <f>HYPERLINK("[P Only Old retention.xlsx]'Lake P Results'!AC100", 1.58)</f>
        <v>1.58</v>
      </c>
      <c r="N1004" s="27">
        <f>HYPERLINK("[P Only New retention.xlsx]'Lake P Results'!AC100", 1.58)</f>
        <v>1.58</v>
      </c>
      <c r="O1004" s="27">
        <f>HYPERLINK("[P Only with New retention and Differentiation.xlsx]'Lake P Results'!AC100", 1.58)</f>
        <v>1.58</v>
      </c>
      <c r="P1004" s="18"/>
      <c r="Q1004" s="18"/>
      <c r="R1004" s="27">
        <f>HYPERLINK("[P Only Old retention.xlsx]'Lake P Results'!Y100", 34.282)</f>
        <v>34.281999999999996</v>
      </c>
      <c r="S1004" s="27">
        <f>HYPERLINK("[P Only New retention.xlsx]'Lake P Results'!Y100", 34.282)</f>
        <v>34.281999999999996</v>
      </c>
      <c r="T1004" s="27">
        <f>HYPERLINK("[P Only with New retention and Differentiation.xlsx]'Lake P Results'!Y100", 34.282)</f>
        <v>34.281999999999996</v>
      </c>
      <c r="U1004" s="18"/>
      <c r="V1004" s="18"/>
      <c r="W1004" s="27">
        <f>HYPERLINK("[P Only Old retention.xlsx]'Lake P Results'!V100", 7.14)</f>
        <v>7.14</v>
      </c>
      <c r="X1004" s="27">
        <f>HYPERLINK("[P Only New retention.xlsx]'Lake P Results'!V100", 7.14)</f>
        <v>7.14</v>
      </c>
      <c r="Y1004" s="27">
        <f>HYPERLINK("[P Only with New retention and Differentiation.xlsx]'Lake P Results'!V100", 7.14)</f>
        <v>7.14</v>
      </c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26">
        <f>HYPERLINK("[P Only Old retention.xlsx]'Lake P Results'!AH100", 670)</f>
        <v>670</v>
      </c>
      <c r="AR1004" s="26">
        <f>HYPERLINK("[P Only New retention.xlsx]'Lake P Results'!AH100", 670)</f>
        <v>670</v>
      </c>
      <c r="AS1004" s="26">
        <f>HYPERLINK("[P Only with New retention and Differentiation.xlsx]'Lake P Results'!AH100", 670)</f>
        <v>670</v>
      </c>
      <c r="AT1004" s="18"/>
      <c r="AU1004" s="18"/>
      <c r="AV1004" s="27">
        <f>HYPERLINK("[P Only Old retention.xlsx]'Lake P Results'!M100", 828.62)</f>
        <v>828.62</v>
      </c>
      <c r="AW1004" s="27">
        <f>HYPERLINK("[P Only New retention.xlsx]'Lake P Results'!M100", 828.62)</f>
        <v>828.62</v>
      </c>
      <c r="AX1004" s="27">
        <f>HYPERLINK("[P Only with New retention and Differentiation.xlsx]'Lake P Results'!M100", 828.62)</f>
        <v>828.62</v>
      </c>
      <c r="AY1004" s="18"/>
      <c r="AZ1004" s="18"/>
      <c r="BA1004" s="27">
        <f>HYPERLINK("[P Only Old retention.xlsx]'Lake P Results'!O100", 2.164)</f>
        <v>2.1640000000000001</v>
      </c>
      <c r="BB1004" s="27">
        <f>HYPERLINK("[P Only New retention.xlsx]'Lake P Results'!O100", 2.164)</f>
        <v>2.1640000000000001</v>
      </c>
      <c r="BC1004" s="27">
        <f>HYPERLINK("[P Only with New retention and Differentiation.xlsx]'Lake P Results'!O100", 2.164)</f>
        <v>2.1640000000000001</v>
      </c>
      <c r="BD1004" s="18"/>
      <c r="BE1004" s="18"/>
      <c r="BF1004" s="18"/>
      <c r="BG1004" s="18"/>
      <c r="BH1004" s="18"/>
      <c r="BI1004" s="18"/>
      <c r="BJ1004" s="18"/>
      <c r="BK1004" s="18"/>
      <c r="BL1004" s="18"/>
      <c r="BM1004" s="18"/>
      <c r="BN1004" s="18"/>
      <c r="BO1004" s="18"/>
    </row>
    <row r="1005" spans="1:67" x14ac:dyDescent="0.55000000000000004">
      <c r="A1005" s="31">
        <v>309</v>
      </c>
      <c r="B1005" s="5" t="s">
        <v>414</v>
      </c>
      <c r="C1005" s="13"/>
      <c r="D1005" s="13"/>
      <c r="E1005" s="13"/>
      <c r="F1005" s="13"/>
      <c r="G1005" s="13"/>
      <c r="H1005" s="28">
        <f>HYPERLINK("[P Only Old retention.xlsx]'Lake P Results'!AM101", 3200)</f>
        <v>3200</v>
      </c>
      <c r="I1005" s="28">
        <f>HYPERLINK("[P Only New retention.xlsx]'Lake P Results'!AM101", 3200)</f>
        <v>3200</v>
      </c>
      <c r="J1005" s="28">
        <f>HYPERLINK("[P Only with New retention and Differentiation.xlsx]'Lake P Results'!AM101", 3100)</f>
        <v>3100</v>
      </c>
      <c r="K1005" s="13"/>
      <c r="L1005" s="21">
        <f>J1005-H1005</f>
        <v>-100</v>
      </c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29">
        <f>HYPERLINK("[P Only Old retention.xlsx]'Lake P Results'!AA101", 0.35)</f>
        <v>0.35</v>
      </c>
      <c r="AH1005" s="29">
        <f>HYPERLINK("[P Only New retention.xlsx]'Lake P Results'!AA101", 0.35)</f>
        <v>0.35</v>
      </c>
      <c r="AI1005" s="29">
        <f>HYPERLINK("[P Only with New retention and Differentiation.xlsx]'Lake P Results'!AA101", 2.75)</f>
        <v>2.75</v>
      </c>
      <c r="AJ1005" s="13"/>
      <c r="AK1005" s="46">
        <f>AI1005-AG1005</f>
        <v>2.4</v>
      </c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</row>
    <row r="1006" spans="1:67" x14ac:dyDescent="0.55000000000000004">
      <c r="A1006" s="30">
        <v>310</v>
      </c>
      <c r="B1006" s="6" t="s">
        <v>415</v>
      </c>
      <c r="C1006" s="27">
        <f>HYPERLINK("[P Only Old retention.xlsx]'Lake P Results'!AE102", 0.2)</f>
        <v>0.2</v>
      </c>
      <c r="D1006" s="27">
        <f>HYPERLINK("[P Only New retention.xlsx]'Lake P Results'!AE102", 0.2)</f>
        <v>0.2</v>
      </c>
      <c r="E1006" s="27">
        <f>HYPERLINK("[P Only with New retention and Differentiation.xlsx]'Lake P Results'!AE102", 0.2)</f>
        <v>0.2</v>
      </c>
      <c r="F1006" s="18"/>
      <c r="G1006" s="18"/>
      <c r="H1006" s="26">
        <f>HYPERLINK("[P Only Old retention.xlsx]'Lake P Results'!AM102", 17700)</f>
        <v>17700</v>
      </c>
      <c r="I1006" s="26">
        <f>HYPERLINK("[P Only New retention.xlsx]'Lake P Results'!AM102", 17700)</f>
        <v>17700</v>
      </c>
      <c r="J1006" s="26">
        <f>HYPERLINK("[P Only with New retention and Differentiation.xlsx]'Lake P Results'!AM102", 17700)</f>
        <v>17700</v>
      </c>
      <c r="K1006" s="18"/>
      <c r="L1006" s="18"/>
      <c r="M1006" s="27">
        <f>HYPERLINK("[P Only Old retention.xlsx]'Lake P Results'!AC102", 0.48)</f>
        <v>0.48</v>
      </c>
      <c r="N1006" s="27">
        <f>HYPERLINK("[P Only New retention.xlsx]'Lake P Results'!AC102", 0.012)</f>
        <v>1.2E-2</v>
      </c>
      <c r="O1006" s="18"/>
      <c r="P1006" s="47">
        <f>N1006-M1006</f>
        <v>-0.46799999999999997</v>
      </c>
      <c r="Q1006" s="47">
        <f>O1006-M1006</f>
        <v>-0.48</v>
      </c>
      <c r="R1006" s="18"/>
      <c r="S1006" s="27">
        <f>HYPERLINK("[P Only New retention.xlsx]'Lake P Results'!Y102", 0.48)</f>
        <v>0.48</v>
      </c>
      <c r="T1006" s="18"/>
      <c r="U1006" s="46">
        <f>S1006-R1006</f>
        <v>0.48</v>
      </c>
      <c r="V1006" s="18"/>
      <c r="W1006" s="18"/>
      <c r="X1006" s="18"/>
      <c r="Y1006" s="18"/>
      <c r="Z1006" s="18"/>
      <c r="AA1006" s="18"/>
      <c r="AB1006" s="27">
        <f>HYPERLINK("[P Only Old retention.xlsx]'Lake P Results'!Z102", 7.092)</f>
        <v>7.0919999999999996</v>
      </c>
      <c r="AC1006" s="27">
        <f>HYPERLINK("[P Only New retention.xlsx]'Lake P Results'!Z102", 7.08)</f>
        <v>7.08</v>
      </c>
      <c r="AD1006" s="27">
        <f>HYPERLINK("[P Only with New retention and Differentiation.xlsx]'Lake P Results'!Z102", 7.572)</f>
        <v>7.5720000000000001</v>
      </c>
      <c r="AE1006" s="47">
        <f>AC1006-AB1006</f>
        <v>-1.1999999999999567E-2</v>
      </c>
      <c r="AF1006" s="46">
        <f>AD1006-AB1006</f>
        <v>0.48000000000000043</v>
      </c>
      <c r="AG1006" s="27">
        <f>HYPERLINK("[P Only Old retention.xlsx]'Lake P Results'!AA102", 5.93)</f>
        <v>5.93</v>
      </c>
      <c r="AH1006" s="27">
        <f>HYPERLINK("[P Only New retention.xlsx]'Lake P Results'!AA102", 5.93)</f>
        <v>5.93</v>
      </c>
      <c r="AI1006" s="27">
        <f>HYPERLINK("[P Only with New retention and Differentiation.xlsx]'Lake P Results'!AA102", 5.93)</f>
        <v>5.93</v>
      </c>
      <c r="AJ1006" s="18"/>
      <c r="AK1006" s="18"/>
      <c r="AL1006" s="18"/>
      <c r="AM1006" s="18"/>
      <c r="AN1006" s="18"/>
      <c r="AO1006" s="18"/>
      <c r="AP1006" s="18"/>
      <c r="AQ1006" s="26">
        <f>HYPERLINK("[P Only Old retention.xlsx]'Lake P Results'!AH102", 20)</f>
        <v>20</v>
      </c>
      <c r="AR1006" s="26">
        <f>HYPERLINK("[P Only New retention.xlsx]'Lake P Results'!AH102", 20)</f>
        <v>20</v>
      </c>
      <c r="AS1006" s="26">
        <f>HYPERLINK("[P Only with New retention and Differentiation.xlsx]'Lake P Results'!AH102", 20)</f>
        <v>20</v>
      </c>
      <c r="AT1006" s="18"/>
      <c r="AU1006" s="18"/>
      <c r="AV1006" s="27">
        <f>HYPERLINK("[P Only Old retention.xlsx]'Lake P Results'!M102", 587.26)</f>
        <v>587.26</v>
      </c>
      <c r="AW1006" s="27">
        <f>HYPERLINK("[P Only New retention.xlsx]'Lake P Results'!M102", 587.26)</f>
        <v>587.26</v>
      </c>
      <c r="AX1006" s="27">
        <f>HYPERLINK("[P Only with New retention and Differentiation.xlsx]'Lake P Results'!M102", 587.26)</f>
        <v>587.26</v>
      </c>
      <c r="AY1006" s="18"/>
      <c r="AZ1006" s="18"/>
      <c r="BA1006" s="27">
        <f>HYPERLINK("[P Only Old retention.xlsx]'Lake P Results'!O102", 211.764)</f>
        <v>211.76400000000001</v>
      </c>
      <c r="BB1006" s="27">
        <f>HYPERLINK("[P Only New retention.xlsx]'Lake P Results'!O102", 211.764)</f>
        <v>211.76400000000001</v>
      </c>
      <c r="BC1006" s="27">
        <f>HYPERLINK("[P Only with New retention and Differentiation.xlsx]'Lake P Results'!O102", 211.764)</f>
        <v>211.76400000000001</v>
      </c>
      <c r="BD1006" s="18"/>
      <c r="BE1006" s="18"/>
      <c r="BF1006" s="18"/>
      <c r="BG1006" s="18"/>
      <c r="BH1006" s="18"/>
      <c r="BI1006" s="18"/>
      <c r="BJ1006" s="18"/>
      <c r="BK1006" s="18"/>
      <c r="BL1006" s="18"/>
      <c r="BM1006" s="18"/>
      <c r="BN1006" s="18"/>
      <c r="BO1006" s="18"/>
    </row>
    <row r="1007" spans="1:67" x14ac:dyDescent="0.55000000000000004">
      <c r="A1007" s="31">
        <v>311</v>
      </c>
      <c r="B1007" s="5" t="s">
        <v>416</v>
      </c>
      <c r="C1007" s="13"/>
      <c r="D1007" s="13"/>
      <c r="E1007" s="13"/>
      <c r="F1007" s="13"/>
      <c r="G1007" s="13"/>
      <c r="H1007" s="28">
        <f>HYPERLINK("[P Only Old retention.xlsx]'Lake P Results'!AM103", 4000)</f>
        <v>4000</v>
      </c>
      <c r="I1007" s="28">
        <f>HYPERLINK("[P Only New retention.xlsx]'Lake P Results'!AM103", 4000)</f>
        <v>4000</v>
      </c>
      <c r="J1007" s="28">
        <f>HYPERLINK("[P Only with New retention and Differentiation.xlsx]'Lake P Results'!AM103", 4000)</f>
        <v>4000</v>
      </c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29">
        <f>HYPERLINK("[P Only Old retention.xlsx]'Lake P Results'!AA103", 0.188)</f>
        <v>0.188</v>
      </c>
      <c r="AH1007" s="29">
        <f>HYPERLINK("[P Only New retention.xlsx]'Lake P Results'!AA103", 0.188)</f>
        <v>0.188</v>
      </c>
      <c r="AI1007" s="29">
        <f>HYPERLINK("[P Only with New retention and Differentiation.xlsx]'Lake P Results'!AA103", 0.188)</f>
        <v>0.188</v>
      </c>
      <c r="AJ1007" s="13"/>
      <c r="AK1007" s="13"/>
      <c r="AL1007" s="13"/>
      <c r="AM1007" s="13"/>
      <c r="AN1007" s="13"/>
      <c r="AO1007" s="13"/>
      <c r="AP1007" s="13"/>
      <c r="AQ1007" s="28">
        <f>HYPERLINK("[P Only Old retention.xlsx]'Lake P Results'!AH103", 20)</f>
        <v>20</v>
      </c>
      <c r="AR1007" s="28">
        <f>HYPERLINK("[P Only New retention.xlsx]'Lake P Results'!AH103", 20)</f>
        <v>20</v>
      </c>
      <c r="AS1007" s="28">
        <f>HYPERLINK("[P Only with New retention and Differentiation.xlsx]'Lake P Results'!AH103", 20)</f>
        <v>20</v>
      </c>
      <c r="AT1007" s="13"/>
      <c r="AU1007" s="13"/>
      <c r="AV1007" s="29">
        <f>HYPERLINK("[P Only Old retention.xlsx]'Lake P Results'!M103", 135.66)</f>
        <v>135.66</v>
      </c>
      <c r="AW1007" s="29">
        <f>HYPERLINK("[P Only New retention.xlsx]'Lake P Results'!M103", 135.66)</f>
        <v>135.66</v>
      </c>
      <c r="AX1007" s="29">
        <f>HYPERLINK("[P Only with New retention and Differentiation.xlsx]'Lake P Results'!M103", 135.66)</f>
        <v>135.66</v>
      </c>
      <c r="AY1007" s="13"/>
      <c r="AZ1007" s="13"/>
      <c r="BA1007" s="29">
        <f>HYPERLINK("[P Only Old retention.xlsx]'Lake P Results'!O103", 17.174)</f>
        <v>17.173999999999999</v>
      </c>
      <c r="BB1007" s="29">
        <f>HYPERLINK("[P Only New retention.xlsx]'Lake P Results'!O103", 17.174)</f>
        <v>17.173999999999999</v>
      </c>
      <c r="BC1007" s="29">
        <f>HYPERLINK("[P Only with New retention and Differentiation.xlsx]'Lake P Results'!O103", 17.174)</f>
        <v>17.173999999999999</v>
      </c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</row>
    <row r="1008" spans="1:67" x14ac:dyDescent="0.55000000000000004">
      <c r="A1008" s="30">
        <v>317</v>
      </c>
      <c r="B1008" s="6" t="s">
        <v>417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  <c r="BL1008" s="18"/>
      <c r="BM1008" s="18"/>
      <c r="BN1008" s="18"/>
      <c r="BO1008" s="18"/>
    </row>
    <row r="1009" spans="1:67" x14ac:dyDescent="0.55000000000000004">
      <c r="A1009" s="31">
        <v>319</v>
      </c>
      <c r="B1009" s="5" t="s">
        <v>418</v>
      </c>
      <c r="C1009" s="13"/>
      <c r="D1009" s="13"/>
      <c r="E1009" s="13"/>
      <c r="F1009" s="13"/>
      <c r="G1009" s="13"/>
      <c r="H1009" s="28">
        <f>HYPERLINK("[P Only Old retention.xlsx]'Lake P Results'!AM105", 2900)</f>
        <v>2900</v>
      </c>
      <c r="I1009" s="28">
        <f>HYPERLINK("[P Only New retention.xlsx]'Lake P Results'!AM105", 2900)</f>
        <v>2900</v>
      </c>
      <c r="J1009" s="28">
        <f>HYPERLINK("[P Only with New retention and Differentiation.xlsx]'Lake P Results'!AM105", 2900)</f>
        <v>2900</v>
      </c>
      <c r="K1009" s="13"/>
      <c r="L1009" s="13"/>
      <c r="M1009" s="29">
        <f>HYPERLINK("[P Only Old retention.xlsx]'Lake P Results'!AC105", 3.07)</f>
        <v>3.07</v>
      </c>
      <c r="N1009" s="29">
        <f>HYPERLINK("[P Only New retention.xlsx]'Lake P Results'!AC105", 3.07)</f>
        <v>3.07</v>
      </c>
      <c r="O1009" s="29">
        <f>HYPERLINK("[P Only with New retention and Differentiation.xlsx]'Lake P Results'!AC105", 3.07)</f>
        <v>3.07</v>
      </c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28">
        <f>HYPERLINK("[P Only Old retention.xlsx]'Lake P Results'!AH105", 110)</f>
        <v>110</v>
      </c>
      <c r="AR1009" s="28">
        <f>HYPERLINK("[P Only New retention.xlsx]'Lake P Results'!AH105", 110)</f>
        <v>110</v>
      </c>
      <c r="AS1009" s="28">
        <f>HYPERLINK("[P Only with New retention and Differentiation.xlsx]'Lake P Results'!AH105", 110)</f>
        <v>110</v>
      </c>
      <c r="AT1009" s="13"/>
      <c r="AU1009" s="13"/>
      <c r="AV1009" s="29">
        <f>HYPERLINK("[P Only Old retention.xlsx]'Lake P Results'!M105", 194.33)</f>
        <v>194.33</v>
      </c>
      <c r="AW1009" s="29">
        <f>HYPERLINK("[P Only New retention.xlsx]'Lake P Results'!M105", 194.33)</f>
        <v>194.33</v>
      </c>
      <c r="AX1009" s="29">
        <f>HYPERLINK("[P Only with New retention and Differentiation.xlsx]'Lake P Results'!M105", 194.33)</f>
        <v>194.33</v>
      </c>
      <c r="AY1009" s="13"/>
      <c r="AZ1009" s="13"/>
      <c r="BA1009" s="29">
        <f>HYPERLINK("[P Only Old retention.xlsx]'Lake P Results'!O105", 4.998)</f>
        <v>4.9980000000000002</v>
      </c>
      <c r="BB1009" s="29">
        <f>HYPERLINK("[P Only New retention.xlsx]'Lake P Results'!O105", 4.998)</f>
        <v>4.9980000000000002</v>
      </c>
      <c r="BC1009" s="29">
        <f>HYPERLINK("[P Only with New retention and Differentiation.xlsx]'Lake P Results'!O105", 4.998)</f>
        <v>4.9980000000000002</v>
      </c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</row>
    <row r="1010" spans="1:67" x14ac:dyDescent="0.55000000000000004">
      <c r="A1010" s="30">
        <v>320</v>
      </c>
      <c r="B1010" s="6" t="s">
        <v>419</v>
      </c>
      <c r="C1010" s="18"/>
      <c r="D1010" s="18"/>
      <c r="E1010" s="18"/>
      <c r="F1010" s="18"/>
      <c r="G1010" s="18"/>
      <c r="H1010" s="26">
        <f>HYPERLINK("[P Only Old retention.xlsx]'Lake P Results'!AM106", 12200)</f>
        <v>12200</v>
      </c>
      <c r="I1010" s="26">
        <f>HYPERLINK("[P Only New retention.xlsx]'Lake P Results'!AM106", 12200)</f>
        <v>12200</v>
      </c>
      <c r="J1010" s="26">
        <f>HYPERLINK("[P Only with New retention and Differentiation.xlsx]'Lake P Results'!AM106", 12200)</f>
        <v>12200</v>
      </c>
      <c r="K1010" s="18"/>
      <c r="L1010" s="18"/>
      <c r="M1010" s="18"/>
      <c r="N1010" s="18"/>
      <c r="O1010" s="18"/>
      <c r="P1010" s="18"/>
      <c r="Q1010" s="18"/>
      <c r="R1010" s="27">
        <f>HYPERLINK("[P Only Old retention.xlsx]'Lake P Results'!Y106", 33.88)</f>
        <v>33.880000000000003</v>
      </c>
      <c r="S1010" s="27">
        <f>HYPERLINK("[P Only New retention.xlsx]'Lake P Results'!Y106", 33.88)</f>
        <v>33.880000000000003</v>
      </c>
      <c r="T1010" s="27">
        <f>HYPERLINK("[P Only with New retention and Differentiation.xlsx]'Lake P Results'!Y106", 33.88)</f>
        <v>33.880000000000003</v>
      </c>
      <c r="U1010" s="18"/>
      <c r="V1010" s="18"/>
      <c r="W1010" s="27">
        <f>HYPERLINK("[P Only Old retention.xlsx]'Lake P Results'!V106", 14.27)</f>
        <v>14.27</v>
      </c>
      <c r="X1010" s="27">
        <f>HYPERLINK("[P Only New retention.xlsx]'Lake P Results'!V106", 14.27)</f>
        <v>14.27</v>
      </c>
      <c r="Y1010" s="27">
        <f>HYPERLINK("[P Only with New retention and Differentiation.xlsx]'Lake P Results'!V106", 14.27)</f>
        <v>14.27</v>
      </c>
      <c r="Z1010" s="18"/>
      <c r="AA1010" s="18"/>
      <c r="AB1010" s="27">
        <f>HYPERLINK("[P Only Old retention.xlsx]'Lake P Results'!Z106", 1.33)</f>
        <v>1.33</v>
      </c>
      <c r="AC1010" s="27">
        <f>HYPERLINK("[P Only New retention.xlsx]'Lake P Results'!Z106", 1.33)</f>
        <v>1.33</v>
      </c>
      <c r="AD1010" s="27">
        <f>HYPERLINK("[P Only with New retention and Differentiation.xlsx]'Lake P Results'!Z106", 1.33)</f>
        <v>1.33</v>
      </c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26">
        <f>HYPERLINK("[P Only Old retention.xlsx]'Lake P Results'!AH106", 659.999999999929)</f>
        <v>659.99999999992895</v>
      </c>
      <c r="AR1010" s="26">
        <f>HYPERLINK("[P Only New retention.xlsx]'Lake P Results'!AH106", 659.999999999929)</f>
        <v>659.99999999992895</v>
      </c>
      <c r="AS1010" s="26">
        <f>HYPERLINK("[P Only with New retention and Differentiation.xlsx]'Lake P Results'!AH106", 659.999999999929)</f>
        <v>659.99999999992895</v>
      </c>
      <c r="AT1010" s="18"/>
      <c r="AU1010" s="18"/>
      <c r="AV1010" s="18"/>
      <c r="AW1010" s="18"/>
      <c r="AX1010" s="18"/>
      <c r="AY1010" s="18"/>
      <c r="AZ1010" s="18"/>
      <c r="BA1010" s="27">
        <f>HYPERLINK("[P Only Old retention.xlsx]'Lake P Results'!O106", 527.344)</f>
        <v>527.34400000000005</v>
      </c>
      <c r="BB1010" s="27">
        <f>HYPERLINK("[P Only New retention.xlsx]'Lake P Results'!O106", 527.344)</f>
        <v>527.34400000000005</v>
      </c>
      <c r="BC1010" s="27">
        <f>HYPERLINK("[P Only with New retention and Differentiation.xlsx]'Lake P Results'!O106", 527.344)</f>
        <v>527.34400000000005</v>
      </c>
      <c r="BD1010" s="18"/>
      <c r="BE1010" s="18"/>
      <c r="BF1010" s="18"/>
      <c r="BG1010" s="18"/>
      <c r="BH1010" s="18"/>
      <c r="BI1010" s="18"/>
      <c r="BJ1010" s="18"/>
      <c r="BK1010" s="18"/>
      <c r="BL1010" s="18"/>
      <c r="BM1010" s="18"/>
      <c r="BN1010" s="18"/>
      <c r="BO1010" s="18"/>
    </row>
    <row r="1011" spans="1:67" x14ac:dyDescent="0.55000000000000004">
      <c r="A1011" s="31">
        <v>322</v>
      </c>
      <c r="B1011" s="5" t="s">
        <v>420</v>
      </c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</row>
    <row r="1012" spans="1:67" x14ac:dyDescent="0.55000000000000004">
      <c r="A1012" s="30">
        <v>323</v>
      </c>
      <c r="B1012" s="6" t="s">
        <v>421</v>
      </c>
      <c r="C1012" s="18"/>
      <c r="D1012" s="18"/>
      <c r="E1012" s="18"/>
      <c r="F1012" s="18"/>
      <c r="G1012" s="18"/>
      <c r="H1012" s="26">
        <f>HYPERLINK("[P Only Old retention.xlsx]'Lake P Results'!AM108", 200)</f>
        <v>200</v>
      </c>
      <c r="I1012" s="26">
        <f>HYPERLINK("[P Only New retention.xlsx]'Lake P Results'!AM108", 200)</f>
        <v>200</v>
      </c>
      <c r="J1012" s="26">
        <f>HYPERLINK("[P Only with New retention and Differentiation.xlsx]'Lake P Results'!AM108", 200)</f>
        <v>200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  <c r="BL1012" s="18"/>
      <c r="BM1012" s="18"/>
      <c r="BN1012" s="18"/>
      <c r="BO1012" s="18"/>
    </row>
    <row r="1013" spans="1:67" x14ac:dyDescent="0.55000000000000004">
      <c r="A1013" s="31">
        <v>327</v>
      </c>
      <c r="B1013" s="5" t="s">
        <v>422</v>
      </c>
      <c r="C1013" s="29">
        <f>HYPERLINK("[P Only Old retention.xlsx]'Lake P Results'!AE109", 108.13)</f>
        <v>108.13</v>
      </c>
      <c r="D1013" s="29">
        <f>HYPERLINK("[P Only New retention.xlsx]'Lake P Results'!AE109", 108.39)</f>
        <v>108.39</v>
      </c>
      <c r="E1013" s="29">
        <f>HYPERLINK("[P Only with New retention and Differentiation.xlsx]'Lake P Results'!AE109", 108.12)</f>
        <v>108.12</v>
      </c>
      <c r="F1013" s="46">
        <f>D1013-C1013</f>
        <v>0.26000000000000512</v>
      </c>
      <c r="G1013" s="47">
        <f>E1013-C1013</f>
        <v>-9.9999999999909051E-3</v>
      </c>
      <c r="H1013" s="28">
        <f>HYPERLINK("[P Only Old retention.xlsx]'Lake P Results'!AM109", 65200)</f>
        <v>65200</v>
      </c>
      <c r="I1013" s="28">
        <f>HYPERLINK("[P Only New retention.xlsx]'Lake P Results'!AM109", 65200)</f>
        <v>65200</v>
      </c>
      <c r="J1013" s="28">
        <f>HYPERLINK("[P Only with New retention and Differentiation.xlsx]'Lake P Results'!AM109", 65200)</f>
        <v>65200</v>
      </c>
      <c r="K1013" s="13"/>
      <c r="L1013" s="13"/>
      <c r="M1013" s="13"/>
      <c r="N1013" s="13"/>
      <c r="O1013" s="13"/>
      <c r="P1013" s="13"/>
      <c r="Q1013" s="13"/>
      <c r="R1013" s="29">
        <f>HYPERLINK("[P Only Old retention.xlsx]'Lake P Results'!Y109", 1.02)</f>
        <v>1.02</v>
      </c>
      <c r="S1013" s="13"/>
      <c r="T1013" s="29">
        <f>HYPERLINK("[P Only with New retention and Differentiation.xlsx]'Lake P Results'!Y109", 1.02)</f>
        <v>1.02</v>
      </c>
      <c r="U1013" s="47">
        <f>S1013-R1013</f>
        <v>-1.02</v>
      </c>
      <c r="V1013" s="13"/>
      <c r="W1013" s="13"/>
      <c r="X1013" s="13"/>
      <c r="Y1013" s="13"/>
      <c r="Z1013" s="13"/>
      <c r="AA1013" s="13"/>
      <c r="AB1013" s="29">
        <f>HYPERLINK("[P Only Old retention.xlsx]'Lake P Results'!Z109", 0.264000000000001)</f>
        <v>0.26400000000000101</v>
      </c>
      <c r="AC1013" s="29">
        <f>HYPERLINK("[P Only New retention.xlsx]'Lake P Results'!Z109", 1.284)</f>
        <v>1.284</v>
      </c>
      <c r="AD1013" s="29">
        <f>HYPERLINK("[P Only with New retention and Differentiation.xlsx]'Lake P Results'!Z109", 0.264000000000001)</f>
        <v>0.26400000000000101</v>
      </c>
      <c r="AE1013" s="46">
        <f>AC1013-AB1013</f>
        <v>1.0199999999999991</v>
      </c>
      <c r="AF1013" s="13"/>
      <c r="AG1013" s="29">
        <f>HYPERLINK("[P Only Old retention.xlsx]'Lake P Results'!AA109", 17.24)</f>
        <v>17.239999999999998</v>
      </c>
      <c r="AH1013" s="29">
        <f>HYPERLINK("[P Only New retention.xlsx]'Lake P Results'!AA109", 16.81)</f>
        <v>16.809999999999999</v>
      </c>
      <c r="AI1013" s="29">
        <f>HYPERLINK("[P Only with New retention and Differentiation.xlsx]'Lake P Results'!AA109", 16.81)</f>
        <v>16.809999999999999</v>
      </c>
      <c r="AJ1013" s="47">
        <f>AH1013-AG1013</f>
        <v>-0.42999999999999972</v>
      </c>
      <c r="AK1013" s="47">
        <f>AI1013-AG1013</f>
        <v>-0.42999999999999972</v>
      </c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29">
        <f>HYPERLINK("[P Only Old retention.xlsx]'Lake P Results'!M109", 0.0599999999999996)</f>
        <v>5.9999999999999602E-2</v>
      </c>
      <c r="AW1013" s="29">
        <f>HYPERLINK("[P Only New retention.xlsx]'Lake P Results'!M109", 0.0599999999999996)</f>
        <v>5.9999999999999602E-2</v>
      </c>
      <c r="AX1013" s="29">
        <f>HYPERLINK("[P Only with New retention and Differentiation.xlsx]'Lake P Results'!M109", 0.0599999999999996)</f>
        <v>5.9999999999999602E-2</v>
      </c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</row>
    <row r="1014" spans="1:67" x14ac:dyDescent="0.55000000000000004">
      <c r="A1014" s="30">
        <v>329</v>
      </c>
      <c r="B1014" s="6" t="s">
        <v>423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  <c r="BL1014" s="18"/>
      <c r="BM1014" s="18"/>
      <c r="BN1014" s="18"/>
      <c r="BO1014" s="18"/>
    </row>
    <row r="1015" spans="1:67" x14ac:dyDescent="0.55000000000000004">
      <c r="A1015" s="31">
        <v>330</v>
      </c>
      <c r="B1015" s="5" t="s">
        <v>424</v>
      </c>
      <c r="C1015" s="29">
        <f>HYPERLINK("[P Only Old retention.xlsx]'Lake P Results'!AE111", 1.352)</f>
        <v>1.3520000000000001</v>
      </c>
      <c r="D1015" s="29">
        <f>HYPERLINK("[P Only New retention.xlsx]'Lake P Results'!AE111", 1.352)</f>
        <v>1.3520000000000001</v>
      </c>
      <c r="E1015" s="29">
        <f>HYPERLINK("[P Only with New retention and Differentiation.xlsx]'Lake P Results'!AE111", 1.352)</f>
        <v>1.3520000000000001</v>
      </c>
      <c r="F1015" s="13"/>
      <c r="G1015" s="13"/>
      <c r="H1015" s="28">
        <f>HYPERLINK("[P Only Old retention.xlsx]'Lake P Results'!AM111", 35200)</f>
        <v>35200</v>
      </c>
      <c r="I1015" s="28">
        <f>HYPERLINK("[P Only New retention.xlsx]'Lake P Results'!AM111", 35200)</f>
        <v>35200</v>
      </c>
      <c r="J1015" s="28">
        <f>HYPERLINK("[P Only with New retention and Differentiation.xlsx]'Lake P Results'!AM111", 35200)</f>
        <v>35200</v>
      </c>
      <c r="K1015" s="13"/>
      <c r="L1015" s="13"/>
      <c r="M1015" s="29">
        <f>HYPERLINK("[P Only Old retention.xlsx]'Lake P Results'!AC111", 45.01)</f>
        <v>45.01</v>
      </c>
      <c r="N1015" s="29">
        <f>HYPERLINK("[P Only New retention.xlsx]'Lake P Results'!AC111", 33.228)</f>
        <v>33.228000000000002</v>
      </c>
      <c r="O1015" s="29">
        <f>HYPERLINK("[P Only with New retention and Differentiation.xlsx]'Lake P Results'!AC111", 40.602)</f>
        <v>40.601999999999997</v>
      </c>
      <c r="P1015" s="47">
        <f>N1015-M1015</f>
        <v>-11.781999999999996</v>
      </c>
      <c r="Q1015" s="47">
        <f>O1015-M1015</f>
        <v>-4.4080000000000013</v>
      </c>
      <c r="R1015" s="29">
        <f>HYPERLINK("[P Only Old retention.xlsx]'Lake P Results'!Y111", 25.358)</f>
        <v>25.358000000000001</v>
      </c>
      <c r="S1015" s="29">
        <f>HYPERLINK("[P Only New retention.xlsx]'Lake P Results'!Y111", 39)</f>
        <v>39</v>
      </c>
      <c r="T1015" s="29">
        <f>HYPERLINK("[P Only with New retention and Differentiation.xlsx]'Lake P Results'!Y111", 33.508)</f>
        <v>33.508000000000003</v>
      </c>
      <c r="U1015" s="46">
        <f>S1015-R1015</f>
        <v>13.641999999999999</v>
      </c>
      <c r="V1015" s="46">
        <f>T1015-R1015</f>
        <v>8.1500000000000021</v>
      </c>
      <c r="W1015" s="29">
        <f>HYPERLINK("[P Only Old retention.xlsx]'Lake P Results'!V111", 21.7)</f>
        <v>21.7</v>
      </c>
      <c r="X1015" s="29">
        <f>HYPERLINK("[P Only New retention.xlsx]'Lake P Results'!V111", 21.7)</f>
        <v>21.7</v>
      </c>
      <c r="Y1015" s="29">
        <f>HYPERLINK("[P Only with New retention and Differentiation.xlsx]'Lake P Results'!V111", 21.7)</f>
        <v>21.7</v>
      </c>
      <c r="Z1015" s="13"/>
      <c r="AA1015" s="13"/>
      <c r="AB1015" s="29">
        <f>HYPERLINK("[P Only Old retention.xlsx]'Lake P Results'!Z111", 36.856)</f>
        <v>36.856000000000002</v>
      </c>
      <c r="AC1015" s="29">
        <f>HYPERLINK("[P Only New retention.xlsx]'Lake P Results'!Z111", 34.996)</f>
        <v>34.996000000000002</v>
      </c>
      <c r="AD1015" s="29">
        <f>HYPERLINK("[P Only with New retention and Differentiation.xlsx]'Lake P Results'!Z111", 33.114)</f>
        <v>33.113999999999997</v>
      </c>
      <c r="AE1015" s="47">
        <f>AC1015-AB1015</f>
        <v>-1.8599999999999994</v>
      </c>
      <c r="AF1015" s="47">
        <f>AD1015-AB1015</f>
        <v>-3.7420000000000044</v>
      </c>
      <c r="AG1015" s="29">
        <f>HYPERLINK("[P Only Old retention.xlsx]'Lake P Results'!AA111", 19.564)</f>
        <v>19.564</v>
      </c>
      <c r="AH1015" s="29">
        <f>HYPERLINK("[P Only New retention.xlsx]'Lake P Results'!AA111", 19.564)</f>
        <v>19.564</v>
      </c>
      <c r="AI1015" s="29">
        <f>HYPERLINK("[P Only with New retention and Differentiation.xlsx]'Lake P Results'!AA111", 19.564)</f>
        <v>19.564</v>
      </c>
      <c r="AJ1015" s="13"/>
      <c r="AK1015" s="13"/>
      <c r="AL1015" s="13"/>
      <c r="AM1015" s="13"/>
      <c r="AN1015" s="13"/>
      <c r="AO1015" s="13"/>
      <c r="AP1015" s="13"/>
      <c r="AQ1015" s="28">
        <f>HYPERLINK("[P Only Old retention.xlsx]'Lake P Results'!AH111", 120)</f>
        <v>120</v>
      </c>
      <c r="AR1015" s="28">
        <f>HYPERLINK("[P Only New retention.xlsx]'Lake P Results'!AH111", 120)</f>
        <v>120</v>
      </c>
      <c r="AS1015" s="28">
        <f>HYPERLINK("[P Only with New retention and Differentiation.xlsx]'Lake P Results'!AH111", 120)</f>
        <v>120</v>
      </c>
      <c r="AT1015" s="13"/>
      <c r="AU1015" s="13"/>
      <c r="AV1015" s="29">
        <f>HYPERLINK("[P Only Old retention.xlsx]'Lake P Results'!M111", 1481.91)</f>
        <v>1481.91</v>
      </c>
      <c r="AW1015" s="29">
        <f>HYPERLINK("[P Only New retention.xlsx]'Lake P Results'!M111", 1481.91)</f>
        <v>1481.91</v>
      </c>
      <c r="AX1015" s="29">
        <f>HYPERLINK("[P Only with New retention and Differentiation.xlsx]'Lake P Results'!M111", 1481.91)</f>
        <v>1481.91</v>
      </c>
      <c r="AY1015" s="13"/>
      <c r="AZ1015" s="13"/>
      <c r="BA1015" s="29">
        <f>HYPERLINK("[P Only Old retention.xlsx]'Lake P Results'!O111", 104.252)</f>
        <v>104.252</v>
      </c>
      <c r="BB1015" s="29">
        <f>HYPERLINK("[P Only New retention.xlsx]'Lake P Results'!O111", 104.252)</f>
        <v>104.252</v>
      </c>
      <c r="BC1015" s="29">
        <f>HYPERLINK("[P Only with New retention and Differentiation.xlsx]'Lake P Results'!O111", 104.252)</f>
        <v>104.252</v>
      </c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</row>
    <row r="1016" spans="1:67" x14ac:dyDescent="0.55000000000000004">
      <c r="A1016" s="30">
        <v>331</v>
      </c>
      <c r="B1016" s="6" t="s">
        <v>425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  <c r="BL1016" s="18"/>
      <c r="BM1016" s="18"/>
      <c r="BN1016" s="18"/>
      <c r="BO1016" s="18"/>
    </row>
    <row r="1017" spans="1:67" x14ac:dyDescent="0.55000000000000004">
      <c r="A1017" s="31">
        <v>337</v>
      </c>
      <c r="B1017" s="5" t="s">
        <v>426</v>
      </c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</row>
    <row r="1018" spans="1:67" x14ac:dyDescent="0.55000000000000004">
      <c r="A1018" s="30">
        <v>338</v>
      </c>
      <c r="B1018" s="6" t="s">
        <v>427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  <c r="BL1018" s="18"/>
      <c r="BM1018" s="18"/>
      <c r="BN1018" s="18"/>
      <c r="BO1018" s="18"/>
    </row>
    <row r="1019" spans="1:67" x14ac:dyDescent="0.55000000000000004">
      <c r="A1019" s="31">
        <v>339</v>
      </c>
      <c r="B1019" s="5" t="s">
        <v>428</v>
      </c>
      <c r="C1019" s="29">
        <f>HYPERLINK("[P Only Old retention.xlsx]'Lake P Results'!AE115", 141.334)</f>
        <v>141.334</v>
      </c>
      <c r="D1019" s="29">
        <f>HYPERLINK("[P Only New retention.xlsx]'Lake P Results'!AE115", 141.334)</f>
        <v>141.334</v>
      </c>
      <c r="E1019" s="29">
        <f>HYPERLINK("[P Only with New retention and Differentiation.xlsx]'Lake P Results'!AE115", 141.334)</f>
        <v>141.334</v>
      </c>
      <c r="F1019" s="13"/>
      <c r="G1019" s="13"/>
      <c r="H1019" s="28">
        <f>HYPERLINK("[P Only Old retention.xlsx]'Lake P Results'!AM115", 129900)</f>
        <v>129900</v>
      </c>
      <c r="I1019" s="28">
        <f>HYPERLINK("[P Only New retention.xlsx]'Lake P Results'!AM115", 129900)</f>
        <v>129900</v>
      </c>
      <c r="J1019" s="28">
        <f>HYPERLINK("[P Only with New retention and Differentiation.xlsx]'Lake P Results'!AM115", 129900)</f>
        <v>129900</v>
      </c>
      <c r="K1019" s="13"/>
      <c r="L1019" s="13"/>
      <c r="M1019" s="29">
        <f>HYPERLINK("[P Only Old retention.xlsx]'Lake P Results'!AC115", 50.458)</f>
        <v>50.457999999999998</v>
      </c>
      <c r="N1019" s="29">
        <f>HYPERLINK("[P Only New retention.xlsx]'Lake P Results'!AC115", 50.458)</f>
        <v>50.457999999999998</v>
      </c>
      <c r="O1019" s="29">
        <f>HYPERLINK("[P Only with New retention and Differentiation.xlsx]'Lake P Results'!AC115", 50.458)</f>
        <v>50.457999999999998</v>
      </c>
      <c r="P1019" s="13"/>
      <c r="Q1019" s="13"/>
      <c r="R1019" s="29">
        <f>HYPERLINK("[P Only Old retention.xlsx]'Lake P Results'!Y115", 346.936)</f>
        <v>346.93599999999998</v>
      </c>
      <c r="S1019" s="29">
        <f>HYPERLINK("[P Only New retention.xlsx]'Lake P Results'!Y115", 346.936)</f>
        <v>346.93599999999998</v>
      </c>
      <c r="T1019" s="29">
        <f>HYPERLINK("[P Only with New retention and Differentiation.xlsx]'Lake P Results'!Y115", 354.276)</f>
        <v>354.27600000000001</v>
      </c>
      <c r="U1019" s="13"/>
      <c r="V1019" s="46">
        <f>T1019-R1019</f>
        <v>7.3400000000000318</v>
      </c>
      <c r="W1019" s="29">
        <f>HYPERLINK("[P Only Old retention.xlsx]'Lake P Results'!V115", 282.146)</f>
        <v>282.14600000000002</v>
      </c>
      <c r="X1019" s="29">
        <f>HYPERLINK("[P Only New retention.xlsx]'Lake P Results'!V115", 282.146)</f>
        <v>282.14600000000002</v>
      </c>
      <c r="Y1019" s="29">
        <f>HYPERLINK("[P Only with New retention and Differentiation.xlsx]'Lake P Results'!V115", 282.146)</f>
        <v>282.14600000000002</v>
      </c>
      <c r="Z1019" s="13"/>
      <c r="AA1019" s="13"/>
      <c r="AB1019" s="29">
        <f>HYPERLINK("[P Only Old retention.xlsx]'Lake P Results'!Z115", 115.122)</f>
        <v>115.122</v>
      </c>
      <c r="AC1019" s="29">
        <f>HYPERLINK("[P Only New retention.xlsx]'Lake P Results'!Z115", 115.122)</f>
        <v>115.122</v>
      </c>
      <c r="AD1019" s="29">
        <f>HYPERLINK("[P Only with New retention and Differentiation.xlsx]'Lake P Results'!Z115", 107.782)</f>
        <v>107.782</v>
      </c>
      <c r="AE1019" s="13"/>
      <c r="AF1019" s="47">
        <f>AD1019-AB1019</f>
        <v>-7.3400000000000034</v>
      </c>
      <c r="AG1019" s="29">
        <f>HYPERLINK("[P Only Old retention.xlsx]'Lake P Results'!AA115", 41.294)</f>
        <v>41.293999999999997</v>
      </c>
      <c r="AH1019" s="29">
        <f>HYPERLINK("[P Only New retention.xlsx]'Lake P Results'!AA115", 41.294)</f>
        <v>41.293999999999997</v>
      </c>
      <c r="AI1019" s="29">
        <f>HYPERLINK("[P Only with New retention and Differentiation.xlsx]'Lake P Results'!AA115", 41.294)</f>
        <v>41.293999999999997</v>
      </c>
      <c r="AJ1019" s="13"/>
      <c r="AK1019" s="13"/>
      <c r="AL1019" s="29">
        <f>HYPERLINK("[P Only Old retention.xlsx]'Lake P Results'!AF115", 0.44)</f>
        <v>0.44</v>
      </c>
      <c r="AM1019" s="29">
        <f>HYPERLINK("[P Only New retention.xlsx]'Lake P Results'!AF115", 0.44)</f>
        <v>0.44</v>
      </c>
      <c r="AN1019" s="29">
        <f>HYPERLINK("[P Only with New retention and Differentiation.xlsx]'Lake P Results'!AF115", 0.44)</f>
        <v>0.44</v>
      </c>
      <c r="AO1019" s="13"/>
      <c r="AP1019" s="13"/>
      <c r="AQ1019" s="28">
        <f>HYPERLINK("[P Only Old retention.xlsx]'Lake P Results'!AH115", 3369.99999999372)</f>
        <v>3369.9999999937199</v>
      </c>
      <c r="AR1019" s="28">
        <f>HYPERLINK("[P Only New retention.xlsx]'Lake P Results'!AH115", 3369.99999999372)</f>
        <v>3369.9999999937199</v>
      </c>
      <c r="AS1019" s="28">
        <f>HYPERLINK("[P Only with New retention and Differentiation.xlsx]'Lake P Results'!AH115", 3369.99999999372)</f>
        <v>3369.9999999937199</v>
      </c>
      <c r="AT1019" s="21">
        <f>AR1019-AQ1019</f>
        <v>0</v>
      </c>
      <c r="AU1019" s="13"/>
      <c r="AV1019" s="29">
        <f>HYPERLINK("[P Only Old retention.xlsx]'Lake P Results'!M115", 3666.83)</f>
        <v>3666.83</v>
      </c>
      <c r="AW1019" s="29">
        <f>HYPERLINK("[P Only New retention.xlsx]'Lake P Results'!M115", 3666.83)</f>
        <v>3666.83</v>
      </c>
      <c r="AX1019" s="29">
        <f>HYPERLINK("[P Only with New retention and Differentiation.xlsx]'Lake P Results'!M115", 3666.83)</f>
        <v>3666.83</v>
      </c>
      <c r="AY1019" s="13"/>
      <c r="AZ1019" s="13"/>
      <c r="BA1019" s="29">
        <f>HYPERLINK("[P Only Old retention.xlsx]'Lake P Results'!O115", 105.432)</f>
        <v>105.432</v>
      </c>
      <c r="BB1019" s="29">
        <f>HYPERLINK("[P Only New retention.xlsx]'Lake P Results'!O115", 105.432)</f>
        <v>105.432</v>
      </c>
      <c r="BC1019" s="29">
        <f>HYPERLINK("[P Only with New retention and Differentiation.xlsx]'Lake P Results'!O115", 105.432)</f>
        <v>105.432</v>
      </c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</row>
    <row r="1020" spans="1:67" x14ac:dyDescent="0.55000000000000004">
      <c r="A1020" s="30">
        <v>340</v>
      </c>
      <c r="B1020" s="6" t="s">
        <v>429</v>
      </c>
      <c r="C1020" s="18"/>
      <c r="D1020" s="18"/>
      <c r="E1020" s="18"/>
      <c r="F1020" s="18"/>
      <c r="G1020" s="18"/>
      <c r="H1020" s="26">
        <f>HYPERLINK("[P Only Old retention.xlsx]'Lake P Results'!AM116", 400)</f>
        <v>400</v>
      </c>
      <c r="I1020" s="26">
        <f>HYPERLINK("[P Only New retention.xlsx]'Lake P Results'!AM116", 400)</f>
        <v>400</v>
      </c>
      <c r="J1020" s="26">
        <f>HYPERLINK("[P Only with New retention and Differentiation.xlsx]'Lake P Results'!AM116", 400)</f>
        <v>400</v>
      </c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27">
        <f>HYPERLINK("[P Only Old retention.xlsx]'Lake P Results'!M116", 53.5)</f>
        <v>53.5</v>
      </c>
      <c r="AW1020" s="27">
        <f>HYPERLINK("[P Only New retention.xlsx]'Lake P Results'!M116", 53.5)</f>
        <v>53.5</v>
      </c>
      <c r="AX1020" s="27">
        <f>HYPERLINK("[P Only with New retention and Differentiation.xlsx]'Lake P Results'!M116", 53.5)</f>
        <v>53.5</v>
      </c>
      <c r="AY1020" s="18"/>
      <c r="AZ1020" s="18"/>
      <c r="BA1020" s="27">
        <f>HYPERLINK("[P Only Old retention.xlsx]'Lake P Results'!O116", 5.59)</f>
        <v>5.59</v>
      </c>
      <c r="BB1020" s="27">
        <f>HYPERLINK("[P Only New retention.xlsx]'Lake P Results'!O116", 5.59)</f>
        <v>5.59</v>
      </c>
      <c r="BC1020" s="27">
        <f>HYPERLINK("[P Only with New retention and Differentiation.xlsx]'Lake P Results'!O116", 5.59)</f>
        <v>5.59</v>
      </c>
      <c r="BD1020" s="18"/>
      <c r="BE1020" s="18"/>
      <c r="BF1020" s="18"/>
      <c r="BG1020" s="18"/>
      <c r="BH1020" s="18"/>
      <c r="BI1020" s="18"/>
      <c r="BJ1020" s="18"/>
      <c r="BK1020" s="18"/>
      <c r="BL1020" s="18"/>
      <c r="BM1020" s="18"/>
      <c r="BN1020" s="18"/>
      <c r="BO1020" s="18"/>
    </row>
    <row r="1021" spans="1:67" x14ac:dyDescent="0.55000000000000004">
      <c r="A1021" s="31">
        <v>341</v>
      </c>
      <c r="B1021" s="5" t="s">
        <v>430</v>
      </c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</row>
    <row r="1022" spans="1:67" x14ac:dyDescent="0.55000000000000004">
      <c r="A1022" s="30">
        <v>343</v>
      </c>
      <c r="B1022" s="6" t="s">
        <v>431</v>
      </c>
      <c r="C1022" s="27">
        <f>HYPERLINK("[P Only Old retention.xlsx]'Lake P Results'!AE118", 42)</f>
        <v>42</v>
      </c>
      <c r="D1022" s="27">
        <f>HYPERLINK("[P Only New retention.xlsx]'Lake P Results'!AE118", 42)</f>
        <v>42</v>
      </c>
      <c r="E1022" s="27">
        <f>HYPERLINK("[P Only with New retention and Differentiation.xlsx]'Lake P Results'!AE118", 42)</f>
        <v>42</v>
      </c>
      <c r="F1022" s="18"/>
      <c r="G1022" s="18"/>
      <c r="H1022" s="26">
        <f>HYPERLINK("[P Only Old retention.xlsx]'Lake P Results'!AM118", 140900)</f>
        <v>140900</v>
      </c>
      <c r="I1022" s="26">
        <f>HYPERLINK("[P Only New retention.xlsx]'Lake P Results'!AM118", 140900)</f>
        <v>140900</v>
      </c>
      <c r="J1022" s="26">
        <f>HYPERLINK("[P Only with New retention and Differentiation.xlsx]'Lake P Results'!AM118", 140900)</f>
        <v>140900</v>
      </c>
      <c r="K1022" s="18"/>
      <c r="L1022" s="18"/>
      <c r="M1022" s="27">
        <f>HYPERLINK("[P Only Old retention.xlsx]'Lake P Results'!AC118", 162.918)</f>
        <v>162.91800000000001</v>
      </c>
      <c r="N1022" s="27">
        <f>HYPERLINK("[P Only New retention.xlsx]'Lake P Results'!AC118", 137.888)</f>
        <v>137.88800000000001</v>
      </c>
      <c r="O1022" s="27">
        <f>HYPERLINK("[P Only with New retention and Differentiation.xlsx]'Lake P Results'!AC118", 129.546)</f>
        <v>129.54599999999999</v>
      </c>
      <c r="P1022" s="47">
        <f>N1022-M1022</f>
        <v>-25.03</v>
      </c>
      <c r="Q1022" s="47">
        <f>O1022-M1022</f>
        <v>-33.372000000000014</v>
      </c>
      <c r="R1022" s="27">
        <f>HYPERLINK("[P Only Old retention.xlsx]'Lake P Results'!Y118", 91.058)</f>
        <v>91.058000000000007</v>
      </c>
      <c r="S1022" s="27">
        <f>HYPERLINK("[P Only New retention.xlsx]'Lake P Results'!Y118", 92.72)</f>
        <v>92.72</v>
      </c>
      <c r="T1022" s="27">
        <f>HYPERLINK("[P Only with New retention and Differentiation.xlsx]'Lake P Results'!Y118", 112.48)</f>
        <v>112.48</v>
      </c>
      <c r="U1022" s="46">
        <f>S1022-R1022</f>
        <v>1.6619999999999919</v>
      </c>
      <c r="V1022" s="46">
        <f>T1022-R1022</f>
        <v>21.421999999999997</v>
      </c>
      <c r="W1022" s="27">
        <f>HYPERLINK("[P Only Old retention.xlsx]'Lake P Results'!V118", 208.55)</f>
        <v>208.55</v>
      </c>
      <c r="X1022" s="27">
        <f>HYPERLINK("[P Only New retention.xlsx]'Lake P Results'!V118", 208.55)</f>
        <v>208.55</v>
      </c>
      <c r="Y1022" s="27">
        <f>HYPERLINK("[P Only with New retention and Differentiation.xlsx]'Lake P Results'!V118", 208.55)</f>
        <v>208.55</v>
      </c>
      <c r="Z1022" s="18"/>
      <c r="AA1022" s="18"/>
      <c r="AB1022" s="27">
        <f>HYPERLINK("[P Only Old retention.xlsx]'Lake P Results'!Z118", 108.96)</f>
        <v>108.96</v>
      </c>
      <c r="AC1022" s="27">
        <f>HYPERLINK("[P Only New retention.xlsx]'Lake P Results'!Z118", 132.328)</f>
        <v>132.328</v>
      </c>
      <c r="AD1022" s="27">
        <f>HYPERLINK("[P Only with New retention and Differentiation.xlsx]'Lake P Results'!Z118", 120.91)</f>
        <v>120.91</v>
      </c>
      <c r="AE1022" s="46">
        <f>AC1022-AB1022</f>
        <v>23.368000000000009</v>
      </c>
      <c r="AF1022" s="46">
        <f>AD1022-AB1022</f>
        <v>11.950000000000003</v>
      </c>
      <c r="AG1022" s="27">
        <f>HYPERLINK("[P Only Old retention.xlsx]'Lake P Results'!AA118", 0.982)</f>
        <v>0.98199999999999998</v>
      </c>
      <c r="AH1022" s="27">
        <f>HYPERLINK("[P Only New retention.xlsx]'Lake P Results'!AA118", 0.982)</f>
        <v>0.98199999999999998</v>
      </c>
      <c r="AI1022" s="27">
        <f>HYPERLINK("[P Only with New retention and Differentiation.xlsx]'Lake P Results'!AA118", 0.982)</f>
        <v>0.98199999999999998</v>
      </c>
      <c r="AJ1022" s="18"/>
      <c r="AK1022" s="18"/>
      <c r="AL1022" s="27">
        <f>HYPERLINK("[P Only Old retention.xlsx]'Lake P Results'!AF118", 0.0199999999999999)</f>
        <v>1.99999999999999E-2</v>
      </c>
      <c r="AM1022" s="27">
        <f>HYPERLINK("[P Only New retention.xlsx]'Lake P Results'!AF118", 0.0199999999999999)</f>
        <v>1.99999999999999E-2</v>
      </c>
      <c r="AN1022" s="27">
        <f>HYPERLINK("[P Only with New retention and Differentiation.xlsx]'Lake P Results'!AF118", 0.0199999999999999)</f>
        <v>1.99999999999999E-2</v>
      </c>
      <c r="AO1022" s="18"/>
      <c r="AP1022" s="18"/>
      <c r="AQ1022" s="26">
        <f>HYPERLINK("[P Only Old retention.xlsx]'Lake P Results'!AH118", 1290)</f>
        <v>1290</v>
      </c>
      <c r="AR1022" s="26">
        <f>HYPERLINK("[P Only New retention.xlsx]'Lake P Results'!AH118", 1290)</f>
        <v>1290</v>
      </c>
      <c r="AS1022" s="26">
        <f>HYPERLINK("[P Only with New retention and Differentiation.xlsx]'Lake P Results'!AH118", 1290)</f>
        <v>1290</v>
      </c>
      <c r="AT1022" s="18"/>
      <c r="AU1022" s="18"/>
      <c r="AV1022" s="27">
        <f>HYPERLINK("[P Only Old retention.xlsx]'Lake P Results'!M118", 4180.54896276596)</f>
        <v>4180.5489627659599</v>
      </c>
      <c r="AW1022" s="27">
        <f>HYPERLINK("[P Only New retention.xlsx]'Lake P Results'!M118", 4180.54896276596)</f>
        <v>4180.5489627659599</v>
      </c>
      <c r="AX1022" s="27">
        <f>HYPERLINK("[P Only with New retention and Differentiation.xlsx]'Lake P Results'!M118", 4180.54896276596)</f>
        <v>4180.5489627659599</v>
      </c>
      <c r="AY1022" s="18"/>
      <c r="AZ1022" s="18"/>
      <c r="BA1022" s="27">
        <f>HYPERLINK("[P Only Old retention.xlsx]'Lake P Results'!O118", 64.3729589041096)</f>
        <v>64.372958904109595</v>
      </c>
      <c r="BB1022" s="27">
        <f>HYPERLINK("[P Only New retention.xlsx]'Lake P Results'!O118", 64.3729589041096)</f>
        <v>64.372958904109595</v>
      </c>
      <c r="BC1022" s="27">
        <f>HYPERLINK("[P Only with New retention and Differentiation.xlsx]'Lake P Results'!O118", 64.3729589041096)</f>
        <v>64.372958904109595</v>
      </c>
      <c r="BD1022" s="18"/>
      <c r="BE1022" s="18"/>
      <c r="BF1022" s="18"/>
      <c r="BG1022" s="18"/>
      <c r="BH1022" s="18"/>
      <c r="BI1022" s="18"/>
      <c r="BJ1022" s="18"/>
      <c r="BK1022" s="18"/>
      <c r="BL1022" s="18"/>
      <c r="BM1022" s="18"/>
      <c r="BN1022" s="18"/>
      <c r="BO1022" s="18"/>
    </row>
    <row r="1023" spans="1:67" x14ac:dyDescent="0.55000000000000004">
      <c r="A1023" s="31">
        <v>347</v>
      </c>
      <c r="B1023" s="5" t="s">
        <v>432</v>
      </c>
      <c r="C1023" s="13"/>
      <c r="D1023" s="13"/>
      <c r="E1023" s="13"/>
      <c r="F1023" s="13"/>
      <c r="G1023" s="13"/>
      <c r="H1023" s="28">
        <f>HYPERLINK("[P Only Old retention.xlsx]'Lake P Results'!AM119", 8800)</f>
        <v>8800</v>
      </c>
      <c r="I1023" s="28">
        <f>HYPERLINK("[P Only New retention.xlsx]'Lake P Results'!AM119", 8800)</f>
        <v>8800</v>
      </c>
      <c r="J1023" s="28">
        <f>HYPERLINK("[P Only with New retention and Differentiation.xlsx]'Lake P Results'!AM119", 8800)</f>
        <v>8800</v>
      </c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29">
        <f>HYPERLINK("[P Only Old retention.xlsx]'Lake P Results'!AA119", 2.18)</f>
        <v>2.1800000000000002</v>
      </c>
      <c r="AH1023" s="29">
        <f>HYPERLINK("[P Only New retention.xlsx]'Lake P Results'!AA119", 2.18)</f>
        <v>2.1800000000000002</v>
      </c>
      <c r="AI1023" s="29">
        <f>HYPERLINK("[P Only with New retention and Differentiation.xlsx]'Lake P Results'!AA119", 2.18)</f>
        <v>2.1800000000000002</v>
      </c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</row>
    <row r="1024" spans="1:67" x14ac:dyDescent="0.55000000000000004">
      <c r="A1024" s="30">
        <v>348</v>
      </c>
      <c r="B1024" s="6" t="s">
        <v>433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  <c r="BL1024" s="18"/>
      <c r="BM1024" s="18"/>
      <c r="BN1024" s="18"/>
      <c r="BO1024" s="18"/>
    </row>
    <row r="1025" spans="1:67" x14ac:dyDescent="0.55000000000000004">
      <c r="A1025" s="31">
        <v>351</v>
      </c>
      <c r="B1025" s="5" t="s">
        <v>434</v>
      </c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</row>
    <row r="1026" spans="1:67" x14ac:dyDescent="0.55000000000000004">
      <c r="A1026" s="30">
        <v>354</v>
      </c>
      <c r="B1026" s="6" t="s">
        <v>435</v>
      </c>
      <c r="C1026" s="18"/>
      <c r="D1026" s="18"/>
      <c r="E1026" s="18"/>
      <c r="F1026" s="18"/>
      <c r="G1026" s="18"/>
      <c r="H1026" s="26">
        <f>HYPERLINK("[P Only Old retention.xlsx]'Lake P Results'!AM122", 700)</f>
        <v>700</v>
      </c>
      <c r="I1026" s="26">
        <f>HYPERLINK("[P Only New retention.xlsx]'Lake P Results'!AM122", 700)</f>
        <v>700</v>
      </c>
      <c r="J1026" s="26">
        <f>HYPERLINK("[P Only with New retention and Differentiation.xlsx]'Lake P Results'!AM122", 700)</f>
        <v>700</v>
      </c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  <c r="BL1026" s="18"/>
      <c r="BM1026" s="18"/>
      <c r="BN1026" s="18"/>
      <c r="BO1026" s="18"/>
    </row>
    <row r="1027" spans="1:67" x14ac:dyDescent="0.55000000000000004">
      <c r="A1027" s="31">
        <v>357</v>
      </c>
      <c r="B1027" s="5" t="s">
        <v>436</v>
      </c>
      <c r="C1027" s="13"/>
      <c r="D1027" s="13"/>
      <c r="E1027" s="13"/>
      <c r="F1027" s="13"/>
      <c r="G1027" s="13"/>
      <c r="H1027" s="28">
        <f>HYPERLINK("[P Only Old retention.xlsx]'Lake P Results'!AM123", 300)</f>
        <v>300</v>
      </c>
      <c r="I1027" s="28">
        <f>HYPERLINK("[P Only New retention.xlsx]'Lake P Results'!AM123", 300)</f>
        <v>300</v>
      </c>
      <c r="J1027" s="28">
        <f>HYPERLINK("[P Only with New retention and Differentiation.xlsx]'Lake P Results'!AM123", 300)</f>
        <v>300</v>
      </c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</row>
    <row r="1028" spans="1:67" x14ac:dyDescent="0.55000000000000004">
      <c r="A1028" s="30">
        <v>366</v>
      </c>
      <c r="B1028" s="6" t="s">
        <v>437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  <c r="BL1028" s="18"/>
      <c r="BM1028" s="18"/>
      <c r="BN1028" s="18"/>
      <c r="BO1028" s="18"/>
    </row>
    <row r="1029" spans="1:67" x14ac:dyDescent="0.55000000000000004">
      <c r="A1029" s="31">
        <v>370</v>
      </c>
      <c r="B1029" s="5" t="s">
        <v>438</v>
      </c>
      <c r="C1029" s="29">
        <f>HYPERLINK("[P Only Old retention.xlsx]'Lake P Results'!AE125", 3.312)</f>
        <v>3.3119999999999998</v>
      </c>
      <c r="D1029" s="29">
        <f>HYPERLINK("[P Only New retention.xlsx]'Lake P Results'!AE125", 3.312)</f>
        <v>3.3119999999999998</v>
      </c>
      <c r="E1029" s="29">
        <f>HYPERLINK("[P Only with New retention and Differentiation.xlsx]'Lake P Results'!AE125", 3.312)</f>
        <v>3.3119999999999998</v>
      </c>
      <c r="F1029" s="13"/>
      <c r="G1029" s="13"/>
      <c r="H1029" s="28">
        <f>HYPERLINK("[P Only Old retention.xlsx]'Lake P Results'!AM125", 30200)</f>
        <v>30200</v>
      </c>
      <c r="I1029" s="28">
        <f>HYPERLINK("[P Only New retention.xlsx]'Lake P Results'!AM125", 30200)</f>
        <v>30200</v>
      </c>
      <c r="J1029" s="28">
        <f>HYPERLINK("[P Only with New retention and Differentiation.xlsx]'Lake P Results'!AM125", 30200)</f>
        <v>30200</v>
      </c>
      <c r="K1029" s="13"/>
      <c r="L1029" s="13"/>
      <c r="M1029" s="29">
        <f>HYPERLINK("[P Only Old retention.xlsx]'Lake P Results'!AC125", 25.262)</f>
        <v>25.262</v>
      </c>
      <c r="N1029" s="29">
        <f>HYPERLINK("[P Only New retention.xlsx]'Lake P Results'!AC125", 26.22)</f>
        <v>26.22</v>
      </c>
      <c r="O1029" s="29">
        <f>HYPERLINK("[P Only with New retention and Differentiation.xlsx]'Lake P Results'!AC125", 26.63)</f>
        <v>26.63</v>
      </c>
      <c r="P1029" s="46">
        <f>N1029-M1029</f>
        <v>0.95799999999999841</v>
      </c>
      <c r="Q1029" s="46">
        <f>O1029-M1029</f>
        <v>1.3679999999999986</v>
      </c>
      <c r="R1029" s="29">
        <f>HYPERLINK("[P Only Old retention.xlsx]'Lake P Results'!Y125", 8.63)</f>
        <v>8.6300000000000008</v>
      </c>
      <c r="S1029" s="29">
        <f>HYPERLINK("[P Only New retention.xlsx]'Lake P Results'!Y125", 3.422)</f>
        <v>3.4220000000000002</v>
      </c>
      <c r="T1029" s="29">
        <f>HYPERLINK("[P Only with New retention and Differentiation.xlsx]'Lake P Results'!Y125", 19.002)</f>
        <v>19.001999999999999</v>
      </c>
      <c r="U1029" s="47">
        <f>S1029-R1029</f>
        <v>-5.2080000000000002</v>
      </c>
      <c r="V1029" s="46">
        <f>T1029-R1029</f>
        <v>10.371999999999998</v>
      </c>
      <c r="W1029" s="29">
        <f>HYPERLINK("[P Only Old retention.xlsx]'Lake P Results'!V125", 41.6)</f>
        <v>41.6</v>
      </c>
      <c r="X1029" s="29">
        <f>HYPERLINK("[P Only New retention.xlsx]'Lake P Results'!V125", 41.6)</f>
        <v>41.6</v>
      </c>
      <c r="Y1029" s="29">
        <f>HYPERLINK("[P Only with New retention and Differentiation.xlsx]'Lake P Results'!V125", 41.6)</f>
        <v>41.6</v>
      </c>
      <c r="Z1029" s="13"/>
      <c r="AA1029" s="13"/>
      <c r="AB1029" s="29">
        <f>HYPERLINK("[P Only Old retention.xlsx]'Lake P Results'!Z125", 27.4)</f>
        <v>27.4</v>
      </c>
      <c r="AC1029" s="29">
        <f>HYPERLINK("[P Only New retention.xlsx]'Lake P Results'!Z125", 31.65)</f>
        <v>31.65</v>
      </c>
      <c r="AD1029" s="29">
        <f>HYPERLINK("[P Only with New retention and Differentiation.xlsx]'Lake P Results'!Z125", 15.66)</f>
        <v>15.66</v>
      </c>
      <c r="AE1029" s="46">
        <f>AC1029-AB1029</f>
        <v>4.25</v>
      </c>
      <c r="AF1029" s="47">
        <f>AD1029-AB1029</f>
        <v>-11.739999999999998</v>
      </c>
      <c r="AG1029" s="29">
        <f>HYPERLINK("[P Only Old retention.xlsx]'Lake P Results'!AA125", 15.16)</f>
        <v>15.16</v>
      </c>
      <c r="AH1029" s="29">
        <f>HYPERLINK("[P Only New retention.xlsx]'Lake P Results'!AA125", 15.16)</f>
        <v>15.16</v>
      </c>
      <c r="AI1029" s="29">
        <f>HYPERLINK("[P Only with New retention and Differentiation.xlsx]'Lake P Results'!AA125", 15.16)</f>
        <v>15.16</v>
      </c>
      <c r="AJ1029" s="13"/>
      <c r="AK1029" s="13"/>
      <c r="AL1029" s="13"/>
      <c r="AM1029" s="13"/>
      <c r="AN1029" s="13"/>
      <c r="AO1029" s="13"/>
      <c r="AP1029" s="13"/>
      <c r="AQ1029" s="28">
        <f>HYPERLINK("[P Only Old retention.xlsx]'Lake P Results'!AH125", 110)</f>
        <v>110</v>
      </c>
      <c r="AR1029" s="28">
        <f>HYPERLINK("[P Only New retention.xlsx]'Lake P Results'!AH125", 110)</f>
        <v>110</v>
      </c>
      <c r="AS1029" s="28">
        <f>HYPERLINK("[P Only with New retention and Differentiation.xlsx]'Lake P Results'!AH125", 110)</f>
        <v>110</v>
      </c>
      <c r="AT1029" s="13"/>
      <c r="AU1029" s="13"/>
      <c r="AV1029" s="29">
        <f>HYPERLINK("[P Only Old retention.xlsx]'Lake P Results'!M125", 630.53)</f>
        <v>630.53</v>
      </c>
      <c r="AW1029" s="29">
        <f>HYPERLINK("[P Only New retention.xlsx]'Lake P Results'!M125", 630.53)</f>
        <v>630.53</v>
      </c>
      <c r="AX1029" s="29">
        <f>HYPERLINK("[P Only with New retention and Differentiation.xlsx]'Lake P Results'!M125", 630.53)</f>
        <v>630.53</v>
      </c>
      <c r="AY1029" s="13"/>
      <c r="AZ1029" s="13"/>
      <c r="BA1029" s="29">
        <f>HYPERLINK("[P Only Old retention.xlsx]'Lake P Results'!O125", 34.206)</f>
        <v>34.206000000000003</v>
      </c>
      <c r="BB1029" s="29">
        <f>HYPERLINK("[P Only New retention.xlsx]'Lake P Results'!O125", 34.206)</f>
        <v>34.206000000000003</v>
      </c>
      <c r="BC1029" s="29">
        <f>HYPERLINK("[P Only with New retention and Differentiation.xlsx]'Lake P Results'!O125", 34.206)</f>
        <v>34.206000000000003</v>
      </c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</row>
    <row r="1030" spans="1:67" x14ac:dyDescent="0.55000000000000004">
      <c r="A1030" s="30">
        <v>379</v>
      </c>
      <c r="B1030" s="6" t="s">
        <v>439</v>
      </c>
      <c r="C1030" s="18"/>
      <c r="D1030" s="18"/>
      <c r="E1030" s="18"/>
      <c r="F1030" s="18"/>
      <c r="G1030" s="18"/>
      <c r="H1030" s="26">
        <f>HYPERLINK("[P Only Old retention.xlsx]'Lake P Results'!AM126", 2100)</f>
        <v>2100</v>
      </c>
      <c r="I1030" s="26">
        <f>HYPERLINK("[P Only New retention.xlsx]'Lake P Results'!AM126", 2100)</f>
        <v>2100</v>
      </c>
      <c r="J1030" s="26">
        <f>HYPERLINK("[P Only with New retention and Differentiation.xlsx]'Lake P Results'!AM126", 2100)</f>
        <v>2100</v>
      </c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  <c r="BL1030" s="18"/>
      <c r="BM1030" s="18"/>
      <c r="BN1030" s="18"/>
      <c r="BO1030" s="18"/>
    </row>
    <row r="1031" spans="1:67" x14ac:dyDescent="0.55000000000000004">
      <c r="A1031" s="31">
        <v>390</v>
      </c>
      <c r="B1031" s="5" t="s">
        <v>440</v>
      </c>
      <c r="C1031" s="29">
        <f>HYPERLINK("[P Only Old retention.xlsx]'Lake P Results'!AE127", 40.012)</f>
        <v>40.012</v>
      </c>
      <c r="D1031" s="29">
        <f>HYPERLINK("[P Only New retention.xlsx]'Lake P Results'!AE127", 40.054)</f>
        <v>40.054000000000002</v>
      </c>
      <c r="E1031" s="29">
        <f>HYPERLINK("[P Only with New retention and Differentiation.xlsx]'Lake P Results'!AE127", 40.094)</f>
        <v>40.094000000000001</v>
      </c>
      <c r="F1031" s="46">
        <f>D1031-C1031</f>
        <v>4.2000000000001592E-2</v>
      </c>
      <c r="G1031" s="46">
        <f>E1031-C1031</f>
        <v>8.2000000000000739E-2</v>
      </c>
      <c r="H1031" s="28">
        <f>HYPERLINK("[P Only Old retention.xlsx]'Lake P Results'!AM127", 45200)</f>
        <v>45200</v>
      </c>
      <c r="I1031" s="28">
        <f>HYPERLINK("[P Only New retention.xlsx]'Lake P Results'!AM127", 45200)</f>
        <v>45200</v>
      </c>
      <c r="J1031" s="28">
        <f>HYPERLINK("[P Only with New retention and Differentiation.xlsx]'Lake P Results'!AM127", 45200)</f>
        <v>45200</v>
      </c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29">
        <f>HYPERLINK("[P Only Old retention.xlsx]'Lake P Results'!AA127", 1.63)</f>
        <v>1.63</v>
      </c>
      <c r="AH1031" s="29">
        <f>HYPERLINK("[P Only New retention.xlsx]'Lake P Results'!AA127", 1.63)</f>
        <v>1.63</v>
      </c>
      <c r="AI1031" s="29">
        <f>HYPERLINK("[P Only with New retention and Differentiation.xlsx]'Lake P Results'!AA127", 1.63)</f>
        <v>1.63</v>
      </c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</row>
    <row r="1032" spans="1:67" x14ac:dyDescent="0.55000000000000004">
      <c r="A1032" s="30">
        <v>392</v>
      </c>
      <c r="B1032" s="6" t="s">
        <v>441</v>
      </c>
      <c r="C1032" s="27">
        <f>HYPERLINK("[P Only Old retention.xlsx]'Lake P Results'!AE128", 1.124)</f>
        <v>1.1240000000000001</v>
      </c>
      <c r="D1032" s="27">
        <f>HYPERLINK("[P Only New retention.xlsx]'Lake P Results'!AE128", 1.124)</f>
        <v>1.1240000000000001</v>
      </c>
      <c r="E1032" s="27">
        <f>HYPERLINK("[P Only with New retention and Differentiation.xlsx]'Lake P Results'!AE128", 1.124)</f>
        <v>1.1240000000000001</v>
      </c>
      <c r="F1032" s="18"/>
      <c r="G1032" s="18"/>
      <c r="H1032" s="26">
        <f>HYPERLINK("[P Only Old retention.xlsx]'Lake P Results'!AM128", 8500)</f>
        <v>8500</v>
      </c>
      <c r="I1032" s="26">
        <f>HYPERLINK("[P Only New retention.xlsx]'Lake P Results'!AM128", 8500)</f>
        <v>8500</v>
      </c>
      <c r="J1032" s="26">
        <f>HYPERLINK("[P Only with New retention and Differentiation.xlsx]'Lake P Results'!AM128", 8500)</f>
        <v>8500</v>
      </c>
      <c r="K1032" s="18"/>
      <c r="L1032" s="18"/>
      <c r="M1032" s="18"/>
      <c r="N1032" s="18"/>
      <c r="O1032" s="18"/>
      <c r="P1032" s="18"/>
      <c r="Q1032" s="18"/>
      <c r="R1032" s="27">
        <f>HYPERLINK("[P Only Old retention.xlsx]'Lake P Results'!Y128", 13.99)</f>
        <v>13.99</v>
      </c>
      <c r="S1032" s="27">
        <f>HYPERLINK("[P Only New retention.xlsx]'Lake P Results'!Y128", 13.99)</f>
        <v>13.99</v>
      </c>
      <c r="T1032" s="27">
        <f>HYPERLINK("[P Only with New retention and Differentiation.xlsx]'Lake P Results'!Y128", 13.99)</f>
        <v>13.99</v>
      </c>
      <c r="U1032" s="18"/>
      <c r="V1032" s="18"/>
      <c r="W1032" s="27">
        <f>HYPERLINK("[P Only Old retention.xlsx]'Lake P Results'!V128", 2.472)</f>
        <v>2.472</v>
      </c>
      <c r="X1032" s="27">
        <f>HYPERLINK("[P Only New retention.xlsx]'Lake P Results'!V128", 2.472)</f>
        <v>2.472</v>
      </c>
      <c r="Y1032" s="27">
        <f>HYPERLINK("[P Only with New retention and Differentiation.xlsx]'Lake P Results'!V128", 2.472)</f>
        <v>2.472</v>
      </c>
      <c r="Z1032" s="18"/>
      <c r="AA1032" s="18"/>
      <c r="AB1032" s="27">
        <f>HYPERLINK("[P Only Old retention.xlsx]'Lake P Results'!Z128", 10.44)</f>
        <v>10.44</v>
      </c>
      <c r="AC1032" s="27">
        <f>HYPERLINK("[P Only New retention.xlsx]'Lake P Results'!Z128", 10.44)</f>
        <v>10.44</v>
      </c>
      <c r="AD1032" s="27">
        <f>HYPERLINK("[P Only with New retention and Differentiation.xlsx]'Lake P Results'!Z128", 10.44)</f>
        <v>10.44</v>
      </c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26">
        <f>HYPERLINK("[P Only Old retention.xlsx]'Lake P Results'!AH128", 509.999999999342)</f>
        <v>509.99999999934198</v>
      </c>
      <c r="AR1032" s="26">
        <f>HYPERLINK("[P Only New retention.xlsx]'Lake P Results'!AH128", 509.999999999342)</f>
        <v>509.99999999934198</v>
      </c>
      <c r="AS1032" s="26">
        <f>HYPERLINK("[P Only with New retention and Differentiation.xlsx]'Lake P Results'!AH128", 509.999999999342)</f>
        <v>509.99999999934198</v>
      </c>
      <c r="AT1032" s="18"/>
      <c r="AU1032" s="18"/>
      <c r="AV1032" s="27">
        <f>HYPERLINK("[P Only Old retention.xlsx]'Lake P Results'!M128", 236.12)</f>
        <v>236.12</v>
      </c>
      <c r="AW1032" s="27">
        <f>HYPERLINK("[P Only New retention.xlsx]'Lake P Results'!M128", 236.12)</f>
        <v>236.12</v>
      </c>
      <c r="AX1032" s="27">
        <f>HYPERLINK("[P Only with New retention and Differentiation.xlsx]'Lake P Results'!M128", 236.12)</f>
        <v>236.12</v>
      </c>
      <c r="AY1032" s="18"/>
      <c r="AZ1032" s="18"/>
      <c r="BA1032" s="27">
        <f>HYPERLINK("[P Only Old retention.xlsx]'Lake P Results'!O128", 411.984)</f>
        <v>411.98399999999998</v>
      </c>
      <c r="BB1032" s="27">
        <f>HYPERLINK("[P Only New retention.xlsx]'Lake P Results'!O128", 411.984)</f>
        <v>411.98399999999998</v>
      </c>
      <c r="BC1032" s="27">
        <f>HYPERLINK("[P Only with New retention and Differentiation.xlsx]'Lake P Results'!O128", 411.984)</f>
        <v>411.98399999999998</v>
      </c>
      <c r="BD1032" s="18"/>
      <c r="BE1032" s="18"/>
      <c r="BF1032" s="18"/>
      <c r="BG1032" s="18"/>
      <c r="BH1032" s="18"/>
      <c r="BI1032" s="18"/>
      <c r="BJ1032" s="18"/>
      <c r="BK1032" s="18"/>
      <c r="BL1032" s="18"/>
      <c r="BM1032" s="18"/>
      <c r="BN1032" s="18"/>
      <c r="BO1032" s="18"/>
    </row>
    <row r="1033" spans="1:67" x14ac:dyDescent="0.55000000000000004">
      <c r="A1033" s="31">
        <v>394</v>
      </c>
      <c r="B1033" s="5" t="s">
        <v>442</v>
      </c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</row>
    <row r="1034" spans="1:67" x14ac:dyDescent="0.55000000000000004">
      <c r="A1034" s="30">
        <v>395</v>
      </c>
      <c r="B1034" s="6" t="s">
        <v>443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  <c r="BL1034" s="18"/>
      <c r="BM1034" s="18"/>
      <c r="BN1034" s="18"/>
      <c r="BO1034" s="18"/>
    </row>
    <row r="1035" spans="1:67" x14ac:dyDescent="0.55000000000000004">
      <c r="A1035" s="31">
        <v>397</v>
      </c>
      <c r="B1035" s="5" t="s">
        <v>444</v>
      </c>
      <c r="C1035" s="29">
        <f>HYPERLINK("[P Only Old retention.xlsx]'Lake P Results'!AE131", 0.21)</f>
        <v>0.21</v>
      </c>
      <c r="D1035" s="29">
        <f>HYPERLINK("[P Only New retention.xlsx]'Lake P Results'!AE131", 0.21)</f>
        <v>0.21</v>
      </c>
      <c r="E1035" s="29">
        <f>HYPERLINK("[P Only with New retention and Differentiation.xlsx]'Lake P Results'!AE131", 0.21)</f>
        <v>0.21</v>
      </c>
      <c r="F1035" s="13"/>
      <c r="G1035" s="13"/>
      <c r="H1035" s="28">
        <f>HYPERLINK("[P Only Old retention.xlsx]'Lake P Results'!AM131", 34700)</f>
        <v>34700</v>
      </c>
      <c r="I1035" s="28">
        <f>HYPERLINK("[P Only New retention.xlsx]'Lake P Results'!AM131", 34700)</f>
        <v>34700</v>
      </c>
      <c r="J1035" s="28">
        <f>HYPERLINK("[P Only with New retention and Differentiation.xlsx]'Lake P Results'!AM131", 34700)</f>
        <v>34700</v>
      </c>
      <c r="K1035" s="13"/>
      <c r="L1035" s="13"/>
      <c r="M1035" s="29">
        <f>HYPERLINK("[P Only Old retention.xlsx]'Lake P Results'!AC131", 3.79)</f>
        <v>3.79</v>
      </c>
      <c r="N1035" s="29">
        <f>HYPERLINK("[P Only New retention.xlsx]'Lake P Results'!AC131", 3.79)</f>
        <v>3.79</v>
      </c>
      <c r="O1035" s="29">
        <f>HYPERLINK("[P Only with New retention and Differentiation.xlsx]'Lake P Results'!AC131", 2.08)</f>
        <v>2.08</v>
      </c>
      <c r="P1035" s="13"/>
      <c r="Q1035" s="47">
        <f>O1035-M1035</f>
        <v>-1.71</v>
      </c>
      <c r="R1035" s="13"/>
      <c r="S1035" s="13"/>
      <c r="T1035" s="29">
        <f>HYPERLINK("[P Only with New retention and Differentiation.xlsx]'Lake P Results'!Y131", 1.71)</f>
        <v>1.71</v>
      </c>
      <c r="U1035" s="13"/>
      <c r="V1035" s="46">
        <f>T1035-R1035</f>
        <v>1.71</v>
      </c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29">
        <f>HYPERLINK("[P Only Old retention.xlsx]'Lake P Results'!AA131", 0.856)</f>
        <v>0.85599999999999998</v>
      </c>
      <c r="AH1035" s="29">
        <f>HYPERLINK("[P Only New retention.xlsx]'Lake P Results'!AA131", 0.856)</f>
        <v>0.85599999999999998</v>
      </c>
      <c r="AI1035" s="29">
        <f>HYPERLINK("[P Only with New retention and Differentiation.xlsx]'Lake P Results'!AA131", 0.856)</f>
        <v>0.85599999999999998</v>
      </c>
      <c r="AJ1035" s="13"/>
      <c r="AK1035" s="13"/>
      <c r="AL1035" s="13"/>
      <c r="AM1035" s="13"/>
      <c r="AN1035" s="13"/>
      <c r="AO1035" s="13"/>
      <c r="AP1035" s="13"/>
      <c r="AQ1035" s="28">
        <f>HYPERLINK("[P Only Old retention.xlsx]'Lake P Results'!AH131", 270)</f>
        <v>270</v>
      </c>
      <c r="AR1035" s="28">
        <f>HYPERLINK("[P Only New retention.xlsx]'Lake P Results'!AH131", 270)</f>
        <v>270</v>
      </c>
      <c r="AS1035" s="28">
        <f>HYPERLINK("[P Only with New retention and Differentiation.xlsx]'Lake P Results'!AH131", 270)</f>
        <v>270</v>
      </c>
      <c r="AT1035" s="13"/>
      <c r="AU1035" s="13"/>
      <c r="AV1035" s="29">
        <f>HYPERLINK("[P Only Old retention.xlsx]'Lake P Results'!M131", 849.89)</f>
        <v>849.89</v>
      </c>
      <c r="AW1035" s="29">
        <f>HYPERLINK("[P Only New retention.xlsx]'Lake P Results'!M131", 849.89)</f>
        <v>849.89</v>
      </c>
      <c r="AX1035" s="29">
        <f>HYPERLINK("[P Only with New retention and Differentiation.xlsx]'Lake P Results'!M131", 849.89)</f>
        <v>849.89</v>
      </c>
      <c r="AY1035" s="13"/>
      <c r="AZ1035" s="13"/>
      <c r="BA1035" s="29">
        <f>HYPERLINK("[P Only Old retention.xlsx]'Lake P Results'!O131", 192.724)</f>
        <v>192.72399999999999</v>
      </c>
      <c r="BB1035" s="29">
        <f>HYPERLINK("[P Only New retention.xlsx]'Lake P Results'!O131", 192.724)</f>
        <v>192.72399999999999</v>
      </c>
      <c r="BC1035" s="29">
        <f>HYPERLINK("[P Only with New retention and Differentiation.xlsx]'Lake P Results'!O131", 192.724)</f>
        <v>192.72399999999999</v>
      </c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</row>
    <row r="1036" spans="1:67" x14ac:dyDescent="0.55000000000000004">
      <c r="A1036" s="30">
        <v>399</v>
      </c>
      <c r="B1036" s="6" t="s">
        <v>445</v>
      </c>
      <c r="C1036" s="18"/>
      <c r="D1036" s="18"/>
      <c r="E1036" s="18"/>
      <c r="F1036" s="18"/>
      <c r="G1036" s="18"/>
      <c r="H1036" s="26">
        <f>HYPERLINK("[P Only Old retention.xlsx]'Lake P Results'!AM132", 2000)</f>
        <v>2000</v>
      </c>
      <c r="I1036" s="26">
        <f>HYPERLINK("[P Only New retention.xlsx]'Lake P Results'!AM132", 2000)</f>
        <v>2000</v>
      </c>
      <c r="J1036" s="26">
        <f>HYPERLINK("[P Only with New retention and Differentiation.xlsx]'Lake P Results'!AM132", 2000)</f>
        <v>2000</v>
      </c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  <c r="BL1036" s="18"/>
      <c r="BM1036" s="18"/>
      <c r="BN1036" s="18"/>
      <c r="BO1036" s="18"/>
    </row>
    <row r="1037" spans="1:67" x14ac:dyDescent="0.55000000000000004">
      <c r="A1037" s="31">
        <v>404</v>
      </c>
      <c r="B1037" s="5" t="s">
        <v>446</v>
      </c>
      <c r="C1037" s="29">
        <f>HYPERLINK("[P Only Old retention.xlsx]'Lake P Results'!AE133", 0.32)</f>
        <v>0.32</v>
      </c>
      <c r="D1037" s="29">
        <f>HYPERLINK("[P Only New retention.xlsx]'Lake P Results'!AE133", 0.32)</f>
        <v>0.32</v>
      </c>
      <c r="E1037" s="29">
        <f>HYPERLINK("[P Only with New retention and Differentiation.xlsx]'Lake P Results'!AE133", 0.32)</f>
        <v>0.32</v>
      </c>
      <c r="F1037" s="13"/>
      <c r="G1037" s="13"/>
      <c r="H1037" s="28">
        <f>HYPERLINK("[P Only Old retention.xlsx]'Lake P Results'!AM133", 4400)</f>
        <v>4400</v>
      </c>
      <c r="I1037" s="28">
        <f>HYPERLINK("[P Only New retention.xlsx]'Lake P Results'!AM133", 4400)</f>
        <v>4400</v>
      </c>
      <c r="J1037" s="28">
        <f>HYPERLINK("[P Only with New retention and Differentiation.xlsx]'Lake P Results'!AM133", 4400)</f>
        <v>4400</v>
      </c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29">
        <f>HYPERLINK("[P Only Old retention.xlsx]'Lake P Results'!AA133", 1.98)</f>
        <v>1.98</v>
      </c>
      <c r="AH1037" s="29">
        <f>HYPERLINK("[P Only New retention.xlsx]'Lake P Results'!AA133", 1.98)</f>
        <v>1.98</v>
      </c>
      <c r="AI1037" s="29">
        <f>HYPERLINK("[P Only with New retention and Differentiation.xlsx]'Lake P Results'!AA133", 1.98)</f>
        <v>1.98</v>
      </c>
      <c r="AJ1037" s="13"/>
      <c r="AK1037" s="13"/>
      <c r="AL1037" s="13"/>
      <c r="AM1037" s="13"/>
      <c r="AN1037" s="13"/>
      <c r="AO1037" s="13"/>
      <c r="AP1037" s="13"/>
      <c r="AQ1037" s="28">
        <f>HYPERLINK("[P Only Old retention.xlsx]'Lake P Results'!AH133", 50)</f>
        <v>50</v>
      </c>
      <c r="AR1037" s="28">
        <f>HYPERLINK("[P Only New retention.xlsx]'Lake P Results'!AH133", 50)</f>
        <v>50</v>
      </c>
      <c r="AS1037" s="28">
        <f>HYPERLINK("[P Only with New retention and Differentiation.xlsx]'Lake P Results'!AH133", 50)</f>
        <v>50</v>
      </c>
      <c r="AT1037" s="13"/>
      <c r="AU1037" s="13"/>
      <c r="AV1037" s="29">
        <f>HYPERLINK("[P Only Old retention.xlsx]'Lake P Results'!M133", 211.39)</f>
        <v>211.39</v>
      </c>
      <c r="AW1037" s="29">
        <f>HYPERLINK("[P Only New retention.xlsx]'Lake P Results'!M133", 211.39)</f>
        <v>211.39</v>
      </c>
      <c r="AX1037" s="29">
        <f>HYPERLINK("[P Only with New retention and Differentiation.xlsx]'Lake P Results'!M133", 211.39)</f>
        <v>211.39</v>
      </c>
      <c r="AY1037" s="13"/>
      <c r="AZ1037" s="13"/>
      <c r="BA1037" s="29">
        <f>HYPERLINK("[P Only Old retention.xlsx]'Lake P Results'!O133", 29.804)</f>
        <v>29.803999999999998</v>
      </c>
      <c r="BB1037" s="29">
        <f>HYPERLINK("[P Only New retention.xlsx]'Lake P Results'!O133", 29.804)</f>
        <v>29.803999999999998</v>
      </c>
      <c r="BC1037" s="29">
        <f>HYPERLINK("[P Only with New retention and Differentiation.xlsx]'Lake P Results'!O133", 29.804)</f>
        <v>29.803999999999998</v>
      </c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</row>
    <row r="1038" spans="1:67" x14ac:dyDescent="0.55000000000000004">
      <c r="A1038" s="30">
        <v>406</v>
      </c>
      <c r="B1038" s="6" t="s">
        <v>447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  <c r="BL1038" s="18"/>
      <c r="BM1038" s="18"/>
      <c r="BN1038" s="18"/>
      <c r="BO1038" s="18"/>
    </row>
    <row r="1039" spans="1:67" x14ac:dyDescent="0.55000000000000004">
      <c r="A1039" s="31">
        <v>409</v>
      </c>
      <c r="B1039" s="5" t="s">
        <v>448</v>
      </c>
      <c r="C1039" s="13"/>
      <c r="D1039" s="13"/>
      <c r="E1039" s="13"/>
      <c r="F1039" s="13"/>
      <c r="G1039" s="13"/>
      <c r="H1039" s="28">
        <f>HYPERLINK("[P Only Old retention.xlsx]'Lake P Results'!AM135", 23900)</f>
        <v>23900</v>
      </c>
      <c r="I1039" s="28">
        <f>HYPERLINK("[P Only New retention.xlsx]'Lake P Results'!AM135", 24000)</f>
        <v>24000</v>
      </c>
      <c r="J1039" s="28">
        <f>HYPERLINK("[P Only with New retention and Differentiation.xlsx]'Lake P Results'!AM135", 24000)</f>
        <v>24000</v>
      </c>
      <c r="K1039" s="16">
        <f>I1039-H1039</f>
        <v>100</v>
      </c>
      <c r="L1039" s="16">
        <f>J1039-H1039</f>
        <v>100</v>
      </c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29">
        <f>HYPERLINK("[P Only Old retention.xlsx]'Lake P Results'!AA135", 0.36)</f>
        <v>0.36</v>
      </c>
      <c r="AH1039" s="29">
        <f>HYPERLINK("[P Only New retention.xlsx]'Lake P Results'!AA135", 0.36)</f>
        <v>0.36</v>
      </c>
      <c r="AI1039" s="29">
        <f>HYPERLINK("[P Only with New retention and Differentiation.xlsx]'Lake P Results'!AA135", 0.36)</f>
        <v>0.36</v>
      </c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</row>
    <row r="1040" spans="1:67" x14ac:dyDescent="0.55000000000000004">
      <c r="A1040" s="30">
        <v>411</v>
      </c>
      <c r="B1040" s="6" t="s">
        <v>449</v>
      </c>
      <c r="C1040" s="18"/>
      <c r="D1040" s="18"/>
      <c r="E1040" s="18"/>
      <c r="F1040" s="18"/>
      <c r="G1040" s="18"/>
      <c r="H1040" s="26">
        <f>HYPERLINK("[P Only Old retention.xlsx]'Lake P Results'!AM136", 1000)</f>
        <v>1000</v>
      </c>
      <c r="I1040" s="26">
        <f>HYPERLINK("[P Only New retention.xlsx]'Lake P Results'!AM136", 1000)</f>
        <v>1000</v>
      </c>
      <c r="J1040" s="26">
        <f>HYPERLINK("[P Only with New retention and Differentiation.xlsx]'Lake P Results'!AM136", 1000)</f>
        <v>1000</v>
      </c>
      <c r="K1040" s="18"/>
      <c r="L1040" s="18"/>
      <c r="M1040" s="27">
        <f>HYPERLINK("[P Only Old retention.xlsx]'Lake P Results'!AC136", 17.82)</f>
        <v>17.82</v>
      </c>
      <c r="N1040" s="27">
        <f>HYPERLINK("[P Only New retention.xlsx]'Lake P Results'!AC136", 10.28)</f>
        <v>10.28</v>
      </c>
      <c r="O1040" s="27">
        <f>HYPERLINK("[P Only with New retention and Differentiation.xlsx]'Lake P Results'!AC136", 17.82)</f>
        <v>17.82</v>
      </c>
      <c r="P1040" s="47">
        <f>N1040-M1040</f>
        <v>-7.5400000000000009</v>
      </c>
      <c r="Q1040" s="18"/>
      <c r="R1040" s="27">
        <f>HYPERLINK("[P Only Old retention.xlsx]'Lake P Results'!Y136", 4.93)</f>
        <v>4.93</v>
      </c>
      <c r="S1040" s="27">
        <f>HYPERLINK("[P Only New retention.xlsx]'Lake P Results'!Y136", 12.47)</f>
        <v>12.47</v>
      </c>
      <c r="T1040" s="18"/>
      <c r="U1040" s="46">
        <f>S1040-R1040</f>
        <v>7.5400000000000009</v>
      </c>
      <c r="V1040" s="47">
        <f>T1040-R1040</f>
        <v>-4.93</v>
      </c>
      <c r="W1040" s="27">
        <f>HYPERLINK("[P Only Old retention.xlsx]'Lake P Results'!V136", 12.93)</f>
        <v>12.93</v>
      </c>
      <c r="X1040" s="27">
        <f>HYPERLINK("[P Only New retention.xlsx]'Lake P Results'!V136", 12.93)</f>
        <v>12.93</v>
      </c>
      <c r="Y1040" s="27">
        <f>HYPERLINK("[P Only with New retention and Differentiation.xlsx]'Lake P Results'!V136", 12.93)</f>
        <v>12.93</v>
      </c>
      <c r="Z1040" s="18"/>
      <c r="AA1040" s="18"/>
      <c r="AB1040" s="27">
        <f>HYPERLINK("[P Only Old retention.xlsx]'Lake P Results'!Z136", 7.24)</f>
        <v>7.24</v>
      </c>
      <c r="AC1040" s="27">
        <f>HYPERLINK("[P Only New retention.xlsx]'Lake P Results'!Z136", 7.24)</f>
        <v>7.24</v>
      </c>
      <c r="AD1040" s="27">
        <f>HYPERLINK("[P Only with New retention and Differentiation.xlsx]'Lake P Results'!Z136", 12.17)</f>
        <v>12.17</v>
      </c>
      <c r="AE1040" s="18"/>
      <c r="AF1040" s="46">
        <f>AD1040-AB1040</f>
        <v>4.93</v>
      </c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27">
        <f>HYPERLINK("[P Only Old retention.xlsx]'Lake P Results'!M136", 86.51)</f>
        <v>86.51</v>
      </c>
      <c r="AW1040" s="27">
        <f>HYPERLINK("[P Only New retention.xlsx]'Lake P Results'!M136", 86.51)</f>
        <v>86.51</v>
      </c>
      <c r="AX1040" s="27">
        <f>HYPERLINK("[P Only with New retention and Differentiation.xlsx]'Lake P Results'!M136", 86.51)</f>
        <v>86.51</v>
      </c>
      <c r="AY1040" s="18"/>
      <c r="AZ1040" s="18"/>
      <c r="BA1040" s="27">
        <f>HYPERLINK("[P Only Old retention.xlsx]'Lake P Results'!O136", 16.642)</f>
        <v>16.641999999999999</v>
      </c>
      <c r="BB1040" s="27">
        <f>HYPERLINK("[P Only New retention.xlsx]'Lake P Results'!O136", 16.642)</f>
        <v>16.641999999999999</v>
      </c>
      <c r="BC1040" s="27">
        <f>HYPERLINK("[P Only with New retention and Differentiation.xlsx]'Lake P Results'!O136", 16.642)</f>
        <v>16.641999999999999</v>
      </c>
      <c r="BD1040" s="18"/>
      <c r="BE1040" s="18"/>
      <c r="BF1040" s="18"/>
      <c r="BG1040" s="18"/>
      <c r="BH1040" s="18"/>
      <c r="BI1040" s="18"/>
      <c r="BJ1040" s="18"/>
      <c r="BK1040" s="18"/>
      <c r="BL1040" s="18"/>
      <c r="BM1040" s="18"/>
      <c r="BN1040" s="18"/>
      <c r="BO1040" s="18"/>
    </row>
    <row r="1041" spans="1:67" x14ac:dyDescent="0.55000000000000004">
      <c r="A1041" s="31">
        <v>412</v>
      </c>
      <c r="B1041" s="5" t="s">
        <v>450</v>
      </c>
      <c r="C1041" s="29">
        <f>HYPERLINK("[P Only Old retention.xlsx]'Lake P Results'!AE137", 29.246)</f>
        <v>29.245999999999999</v>
      </c>
      <c r="D1041" s="29">
        <f>HYPERLINK("[P Only New retention.xlsx]'Lake P Results'!AE137", 29.246)</f>
        <v>29.245999999999999</v>
      </c>
      <c r="E1041" s="29">
        <f>HYPERLINK("[P Only with New retention and Differentiation.xlsx]'Lake P Results'!AE137", 29.246)</f>
        <v>29.245999999999999</v>
      </c>
      <c r="F1041" s="13"/>
      <c r="G1041" s="13"/>
      <c r="H1041" s="28">
        <f>HYPERLINK("[P Only Old retention.xlsx]'Lake P Results'!AM137", 98000)</f>
        <v>98000</v>
      </c>
      <c r="I1041" s="28">
        <f>HYPERLINK("[P Only New retention.xlsx]'Lake P Results'!AM137", 98000)</f>
        <v>98000</v>
      </c>
      <c r="J1041" s="28">
        <f>HYPERLINK("[P Only with New retention and Differentiation.xlsx]'Lake P Results'!AM137", 98000)</f>
        <v>98000</v>
      </c>
      <c r="K1041" s="13"/>
      <c r="L1041" s="13"/>
      <c r="M1041" s="29">
        <f>HYPERLINK("[P Only Old retention.xlsx]'Lake P Results'!AC137", 72.592)</f>
        <v>72.591999999999999</v>
      </c>
      <c r="N1041" s="29">
        <f>HYPERLINK("[P Only New retention.xlsx]'Lake P Results'!AC137", 96.008)</f>
        <v>96.007999999999996</v>
      </c>
      <c r="O1041" s="29">
        <f>HYPERLINK("[P Only with New retention and Differentiation.xlsx]'Lake P Results'!AC137", 103.156)</f>
        <v>103.15600000000001</v>
      </c>
      <c r="P1041" s="46">
        <f>N1041-M1041</f>
        <v>23.415999999999997</v>
      </c>
      <c r="Q1041" s="46">
        <f>O1041-M1041</f>
        <v>30.564000000000007</v>
      </c>
      <c r="R1041" s="29">
        <f>HYPERLINK("[P Only Old retention.xlsx]'Lake P Results'!Y137", 209.056)</f>
        <v>209.05600000000001</v>
      </c>
      <c r="S1041" s="29">
        <f>HYPERLINK("[P Only New retention.xlsx]'Lake P Results'!Y137", 219.944)</f>
        <v>219.94399999999999</v>
      </c>
      <c r="T1041" s="29">
        <f>HYPERLINK("[P Only with New retention and Differentiation.xlsx]'Lake P Results'!Y137", 219.702)</f>
        <v>219.702</v>
      </c>
      <c r="U1041" s="46">
        <f>S1041-R1041</f>
        <v>10.887999999999977</v>
      </c>
      <c r="V1041" s="46">
        <f>T1041-R1041</f>
        <v>10.645999999999987</v>
      </c>
      <c r="W1041" s="29">
        <f>HYPERLINK("[P Only Old retention.xlsx]'Lake P Results'!V137", 303.96)</f>
        <v>303.95999999999998</v>
      </c>
      <c r="X1041" s="29">
        <f>HYPERLINK("[P Only New retention.xlsx]'Lake P Results'!V137", 303.96)</f>
        <v>303.95999999999998</v>
      </c>
      <c r="Y1041" s="29">
        <f>HYPERLINK("[P Only with New retention and Differentiation.xlsx]'Lake P Results'!V137", 303.96)</f>
        <v>303.95999999999998</v>
      </c>
      <c r="Z1041" s="13"/>
      <c r="AA1041" s="13"/>
      <c r="AB1041" s="29">
        <f>HYPERLINK("[P Only Old retention.xlsx]'Lake P Results'!Z137", 105.804)</f>
        <v>105.804</v>
      </c>
      <c r="AC1041" s="29">
        <f>HYPERLINK("[P Only New retention.xlsx]'Lake P Results'!Z137", 71.5)</f>
        <v>71.5</v>
      </c>
      <c r="AD1041" s="29">
        <f>HYPERLINK("[P Only with New retention and Differentiation.xlsx]'Lake P Results'!Z137", 64.594)</f>
        <v>64.593999999999994</v>
      </c>
      <c r="AE1041" s="47">
        <f>AC1041-AB1041</f>
        <v>-34.304000000000002</v>
      </c>
      <c r="AF1041" s="47">
        <f>AD1041-AB1041</f>
        <v>-41.210000000000008</v>
      </c>
      <c r="AG1041" s="29">
        <f>HYPERLINK("[P Only Old retention.xlsx]'Lake P Results'!AA137", 2.228)</f>
        <v>2.2280000000000002</v>
      </c>
      <c r="AH1041" s="29">
        <f>HYPERLINK("[P Only New retention.xlsx]'Lake P Results'!AA137", 2.228)</f>
        <v>2.2280000000000002</v>
      </c>
      <c r="AI1041" s="29">
        <f>HYPERLINK("[P Only with New retention and Differentiation.xlsx]'Lake P Results'!AA137", 2.228)</f>
        <v>2.2280000000000002</v>
      </c>
      <c r="AJ1041" s="13"/>
      <c r="AK1041" s="13"/>
      <c r="AL1041" s="29">
        <f>HYPERLINK("[P Only Old retention.xlsx]'Lake P Results'!AF137", 0.0999999999999999)</f>
        <v>9.9999999999999895E-2</v>
      </c>
      <c r="AM1041" s="29">
        <f>HYPERLINK("[P Only New retention.xlsx]'Lake P Results'!AF137", 0.0999999999999999)</f>
        <v>9.9999999999999895E-2</v>
      </c>
      <c r="AN1041" s="29">
        <f>HYPERLINK("[P Only with New retention and Differentiation.xlsx]'Lake P Results'!AF137", 0.0999999999999999)</f>
        <v>9.9999999999999895E-2</v>
      </c>
      <c r="AO1041" s="13"/>
      <c r="AP1041" s="13"/>
      <c r="AQ1041" s="28">
        <f>HYPERLINK("[P Only Old retention.xlsx]'Lake P Results'!AH137", 1600)</f>
        <v>1600</v>
      </c>
      <c r="AR1041" s="28">
        <f>HYPERLINK("[P Only New retention.xlsx]'Lake P Results'!AH137", 1600)</f>
        <v>1600</v>
      </c>
      <c r="AS1041" s="28">
        <f>HYPERLINK("[P Only with New retention and Differentiation.xlsx]'Lake P Results'!AH137", 1600)</f>
        <v>1600</v>
      </c>
      <c r="AT1041" s="13"/>
      <c r="AU1041" s="13"/>
      <c r="AV1041" s="29">
        <f>HYPERLINK("[P Only Old retention.xlsx]'Lake P Results'!M137", 2478.88)</f>
        <v>2478.88</v>
      </c>
      <c r="AW1041" s="29">
        <f>HYPERLINK("[P Only New retention.xlsx]'Lake P Results'!M137", 2478.88)</f>
        <v>2478.88</v>
      </c>
      <c r="AX1041" s="29">
        <f>HYPERLINK("[P Only with New retention and Differentiation.xlsx]'Lake P Results'!M137", 2478.88)</f>
        <v>2478.88</v>
      </c>
      <c r="AY1041" s="13"/>
      <c r="AZ1041" s="13"/>
      <c r="BA1041" s="29">
        <f>HYPERLINK("[P Only Old retention.xlsx]'Lake P Results'!O137", 41.708)</f>
        <v>41.707999999999998</v>
      </c>
      <c r="BB1041" s="29">
        <f>HYPERLINK("[P Only New retention.xlsx]'Lake P Results'!O137", 41.708)</f>
        <v>41.707999999999998</v>
      </c>
      <c r="BC1041" s="29">
        <f>HYPERLINK("[P Only with New retention and Differentiation.xlsx]'Lake P Results'!O137", 41.708)</f>
        <v>41.707999999999998</v>
      </c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</row>
    <row r="1042" spans="1:67" x14ac:dyDescent="0.55000000000000004">
      <c r="A1042" s="30">
        <v>413</v>
      </c>
      <c r="B1042" s="6" t="s">
        <v>451</v>
      </c>
      <c r="C1042" s="27">
        <f>HYPERLINK("[P Only Old retention.xlsx]'Lake P Results'!AE138", 31.69)</f>
        <v>31.69</v>
      </c>
      <c r="D1042" s="27">
        <f>HYPERLINK("[P Only New retention.xlsx]'Lake P Results'!AE138", 31.69)</f>
        <v>31.69</v>
      </c>
      <c r="E1042" s="27">
        <f>HYPERLINK("[P Only with New retention and Differentiation.xlsx]'Lake P Results'!AE138", 31.69)</f>
        <v>31.69</v>
      </c>
      <c r="F1042" s="18"/>
      <c r="G1042" s="18"/>
      <c r="H1042" s="26">
        <f>HYPERLINK("[P Only Old retention.xlsx]'Lake P Results'!AM138", 46000)</f>
        <v>46000</v>
      </c>
      <c r="I1042" s="26">
        <f>HYPERLINK("[P Only New retention.xlsx]'Lake P Results'!AM138", 46000)</f>
        <v>46000</v>
      </c>
      <c r="J1042" s="26">
        <f>HYPERLINK("[P Only with New retention and Differentiation.xlsx]'Lake P Results'!AM138", 46000)</f>
        <v>46000</v>
      </c>
      <c r="K1042" s="18"/>
      <c r="L1042" s="18"/>
      <c r="M1042" s="27">
        <f>HYPERLINK("[P Only Old retention.xlsx]'Lake P Results'!AC138", 60.276)</f>
        <v>60.276000000000003</v>
      </c>
      <c r="N1042" s="27">
        <f>HYPERLINK("[P Only New retention.xlsx]'Lake P Results'!AC138", 64.286)</f>
        <v>64.286000000000001</v>
      </c>
      <c r="O1042" s="27">
        <f>HYPERLINK("[P Only with New retention and Differentiation.xlsx]'Lake P Results'!AC138", 52.116)</f>
        <v>52.116</v>
      </c>
      <c r="P1042" s="46">
        <f>N1042-M1042</f>
        <v>4.009999999999998</v>
      </c>
      <c r="Q1042" s="47">
        <f>O1042-M1042</f>
        <v>-8.1600000000000037</v>
      </c>
      <c r="R1042" s="27">
        <f>HYPERLINK("[P Only Old retention.xlsx]'Lake P Results'!Y138", 9.35)</f>
        <v>9.35</v>
      </c>
      <c r="S1042" s="27">
        <f>HYPERLINK("[P Only New retention.xlsx]'Lake P Results'!Y138", 7.01)</f>
        <v>7.01</v>
      </c>
      <c r="T1042" s="18"/>
      <c r="U1042" s="47">
        <f>S1042-R1042</f>
        <v>-2.34</v>
      </c>
      <c r="V1042" s="47">
        <f>T1042-R1042</f>
        <v>-9.35</v>
      </c>
      <c r="W1042" s="18"/>
      <c r="X1042" s="18"/>
      <c r="Y1042" s="18"/>
      <c r="Z1042" s="18"/>
      <c r="AA1042" s="18"/>
      <c r="AB1042" s="27">
        <f>HYPERLINK("[P Only Old retention.xlsx]'Lake P Results'!Z138", 10.06)</f>
        <v>10.06</v>
      </c>
      <c r="AC1042" s="27">
        <f>HYPERLINK("[P Only New retention.xlsx]'Lake P Results'!Z138", 5.4)</f>
        <v>5.4</v>
      </c>
      <c r="AD1042" s="27">
        <f>HYPERLINK("[P Only with New retention and Differentiation.xlsx]'Lake P Results'!Z138", 24.58)</f>
        <v>24.58</v>
      </c>
      <c r="AE1042" s="47">
        <f>AC1042-AB1042</f>
        <v>-4.66</v>
      </c>
      <c r="AF1042" s="46">
        <f>AD1042-AB1042</f>
        <v>14.519999999999998</v>
      </c>
      <c r="AG1042" s="27">
        <f>HYPERLINK("[P Only Old retention.xlsx]'Lake P Results'!AA138", 183.586)</f>
        <v>183.58600000000001</v>
      </c>
      <c r="AH1042" s="27">
        <f>HYPERLINK("[P Only New retention.xlsx]'Lake P Results'!AA138", 186.576)</f>
        <v>186.57599999999999</v>
      </c>
      <c r="AI1042" s="27">
        <f>HYPERLINK("[P Only with New retention and Differentiation.xlsx]'Lake P Results'!AA138", 183.586)</f>
        <v>183.58600000000001</v>
      </c>
      <c r="AJ1042" s="46">
        <f>AH1042-AG1042</f>
        <v>2.9899999999999807</v>
      </c>
      <c r="AK1042" s="18"/>
      <c r="AL1042" s="18"/>
      <c r="AM1042" s="18"/>
      <c r="AN1042" s="18"/>
      <c r="AO1042" s="18"/>
      <c r="AP1042" s="18"/>
      <c r="AQ1042" s="26">
        <f>HYPERLINK("[P Only Old retention.xlsx]'Lake P Results'!AH138", 20)</f>
        <v>20</v>
      </c>
      <c r="AR1042" s="18"/>
      <c r="AS1042" s="26">
        <f>HYPERLINK("[P Only with New retention and Differentiation.xlsx]'Lake P Results'!AH138", 20)</f>
        <v>20</v>
      </c>
      <c r="AT1042" s="21">
        <f>AR1042-AQ1042</f>
        <v>-20</v>
      </c>
      <c r="AU1042" s="18"/>
      <c r="AV1042" s="27">
        <f>HYPERLINK("[P Only Old retention.xlsx]'Lake P Results'!M138", 11.44)</f>
        <v>11.44</v>
      </c>
      <c r="AW1042" s="27">
        <f>HYPERLINK("[P Only New retention.xlsx]'Lake P Results'!M138", 11.44)</f>
        <v>11.44</v>
      </c>
      <c r="AX1042" s="27">
        <f>HYPERLINK("[P Only with New retention and Differentiation.xlsx]'Lake P Results'!M138", 11.44)</f>
        <v>11.44</v>
      </c>
      <c r="AY1042" s="18"/>
      <c r="AZ1042" s="18"/>
      <c r="BA1042" s="18"/>
      <c r="BB1042" s="18"/>
      <c r="BC1042" s="18"/>
      <c r="BD1042" s="18"/>
      <c r="BE1042" s="18"/>
      <c r="BF1042" s="18"/>
      <c r="BG1042" s="18"/>
      <c r="BH1042" s="18"/>
      <c r="BI1042" s="18"/>
      <c r="BJ1042" s="18"/>
      <c r="BK1042" s="18"/>
      <c r="BL1042" s="27">
        <f>HYPERLINK("[P Only New retention.xlsx]'Lake P Results'!Q138", 0.048)</f>
        <v>4.8000000000000001E-2</v>
      </c>
      <c r="BM1042" s="27">
        <f>HYPERLINK("[P Only with New retention and Differentiation.xlsx]'Lake P Results'!Q138", 0.048)</f>
        <v>4.8000000000000001E-2</v>
      </c>
      <c r="BN1042" s="46">
        <f>BL1042-BK1042</f>
        <v>4.8000000000000001E-2</v>
      </c>
      <c r="BO1042" s="46">
        <f>BM1042-BK1042</f>
        <v>4.8000000000000001E-2</v>
      </c>
    </row>
    <row r="1043" spans="1:67" x14ac:dyDescent="0.55000000000000004">
      <c r="A1043" s="31">
        <v>418</v>
      </c>
      <c r="B1043" s="5" t="s">
        <v>452</v>
      </c>
      <c r="C1043" s="29">
        <f>HYPERLINK("[P Only Old retention.xlsx]'Lake P Results'!AE139", 2.34)</f>
        <v>2.34</v>
      </c>
      <c r="D1043" s="29">
        <f>HYPERLINK("[P Only New retention.xlsx]'Lake P Results'!AE139", 2.34)</f>
        <v>2.34</v>
      </c>
      <c r="E1043" s="29">
        <f>HYPERLINK("[P Only with New retention and Differentiation.xlsx]'Lake P Results'!AE139", 2.34)</f>
        <v>2.34</v>
      </c>
      <c r="F1043" s="13"/>
      <c r="G1043" s="13"/>
      <c r="H1043" s="28">
        <f>HYPERLINK("[P Only Old retention.xlsx]'Lake P Results'!AM139", 37500)</f>
        <v>37500</v>
      </c>
      <c r="I1043" s="28">
        <f>HYPERLINK("[P Only New retention.xlsx]'Lake P Results'!AM139", 37500)</f>
        <v>37500</v>
      </c>
      <c r="J1043" s="28">
        <f>HYPERLINK("[P Only with New retention and Differentiation.xlsx]'Lake P Results'!AM139", 37500)</f>
        <v>37500</v>
      </c>
      <c r="K1043" s="13"/>
      <c r="L1043" s="13"/>
      <c r="M1043" s="29">
        <f>HYPERLINK("[P Only Old retention.xlsx]'Lake P Results'!AC139", 2.27)</f>
        <v>2.27</v>
      </c>
      <c r="N1043" s="29">
        <f>HYPERLINK("[P Only New retention.xlsx]'Lake P Results'!AC139", 2.27)</f>
        <v>2.27</v>
      </c>
      <c r="O1043" s="29">
        <f>HYPERLINK("[P Only with New retention and Differentiation.xlsx]'Lake P Results'!AC139", 2.27)</f>
        <v>2.27</v>
      </c>
      <c r="P1043" s="13"/>
      <c r="Q1043" s="13"/>
      <c r="R1043" s="13"/>
      <c r="S1043" s="13"/>
      <c r="T1043" s="13"/>
      <c r="U1043" s="13"/>
      <c r="V1043" s="13"/>
      <c r="W1043" s="29">
        <f>HYPERLINK("[P Only Old retention.xlsx]'Lake P Results'!V139", 3.75)</f>
        <v>3.75</v>
      </c>
      <c r="X1043" s="29">
        <f>HYPERLINK("[P Only New retention.xlsx]'Lake P Results'!V139", 3.75)</f>
        <v>3.75</v>
      </c>
      <c r="Y1043" s="29">
        <f>HYPERLINK("[P Only with New retention and Differentiation.xlsx]'Lake P Results'!V139", 3.75)</f>
        <v>3.75</v>
      </c>
      <c r="Z1043" s="13"/>
      <c r="AA1043" s="13"/>
      <c r="AB1043" s="13"/>
      <c r="AC1043" s="13"/>
      <c r="AD1043" s="13"/>
      <c r="AE1043" s="13"/>
      <c r="AF1043" s="13"/>
      <c r="AG1043" s="29">
        <f>HYPERLINK("[P Only Old retention.xlsx]'Lake P Results'!AA139", 24.806)</f>
        <v>24.806000000000001</v>
      </c>
      <c r="AH1043" s="29">
        <f>HYPERLINK("[P Only New retention.xlsx]'Lake P Results'!AA139", 24.806)</f>
        <v>24.806000000000001</v>
      </c>
      <c r="AI1043" s="29">
        <f>HYPERLINK("[P Only with New retention and Differentiation.xlsx]'Lake P Results'!AA139", 24.806)</f>
        <v>24.806000000000001</v>
      </c>
      <c r="AJ1043" s="13"/>
      <c r="AK1043" s="13"/>
      <c r="AL1043" s="13"/>
      <c r="AM1043" s="13"/>
      <c r="AN1043" s="13"/>
      <c r="AO1043" s="13"/>
      <c r="AP1043" s="13"/>
      <c r="AQ1043" s="28">
        <f>HYPERLINK("[P Only Old retention.xlsx]'Lake P Results'!AH139", 290)</f>
        <v>290</v>
      </c>
      <c r="AR1043" s="28">
        <f>HYPERLINK("[P Only New retention.xlsx]'Lake P Results'!AH139", 290)</f>
        <v>290</v>
      </c>
      <c r="AS1043" s="28">
        <f>HYPERLINK("[P Only with New retention and Differentiation.xlsx]'Lake P Results'!AH139", 290)</f>
        <v>290</v>
      </c>
      <c r="AT1043" s="13"/>
      <c r="AU1043" s="13"/>
      <c r="AV1043" s="29">
        <f>HYPERLINK("[P Only Old retention.xlsx]'Lake P Results'!M139", 1172.46)</f>
        <v>1172.46</v>
      </c>
      <c r="AW1043" s="29">
        <f>HYPERLINK("[P Only New retention.xlsx]'Lake P Results'!M139", 1172.46)</f>
        <v>1172.46</v>
      </c>
      <c r="AX1043" s="29">
        <f>HYPERLINK("[P Only with New retention and Differentiation.xlsx]'Lake P Results'!M139", 1172.46)</f>
        <v>1172.46</v>
      </c>
      <c r="AY1043" s="13"/>
      <c r="AZ1043" s="13"/>
      <c r="BA1043" s="29">
        <f>HYPERLINK("[P Only Old retention.xlsx]'Lake P Results'!O139", 36.722)</f>
        <v>36.722000000000001</v>
      </c>
      <c r="BB1043" s="29">
        <f>HYPERLINK("[P Only New retention.xlsx]'Lake P Results'!O139", 36.722)</f>
        <v>36.722000000000001</v>
      </c>
      <c r="BC1043" s="29">
        <f>HYPERLINK("[P Only with New retention and Differentiation.xlsx]'Lake P Results'!O139", 36.722)</f>
        <v>36.722000000000001</v>
      </c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</row>
    <row r="1044" spans="1:67" x14ac:dyDescent="0.55000000000000004">
      <c r="A1044" s="30">
        <v>419</v>
      </c>
      <c r="B1044" s="6" t="s">
        <v>453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  <c r="BB1044" s="18"/>
      <c r="BC1044" s="18"/>
      <c r="BD1044" s="18"/>
      <c r="BE1044" s="18"/>
      <c r="BF1044" s="18"/>
      <c r="BG1044" s="18"/>
      <c r="BH1044" s="18"/>
      <c r="BI1044" s="18"/>
      <c r="BJ1044" s="18"/>
      <c r="BK1044" s="18"/>
      <c r="BL1044" s="18"/>
      <c r="BM1044" s="18"/>
      <c r="BN1044" s="18"/>
      <c r="BO1044" s="18"/>
    </row>
    <row r="1045" spans="1:67" x14ac:dyDescent="0.55000000000000004">
      <c r="A1045" s="31">
        <v>420</v>
      </c>
      <c r="B1045" s="5" t="s">
        <v>454</v>
      </c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</row>
    <row r="1046" spans="1:67" x14ac:dyDescent="0.55000000000000004">
      <c r="A1046" s="30">
        <v>424</v>
      </c>
      <c r="B1046" s="6" t="s">
        <v>455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  <c r="AV1046" s="18"/>
      <c r="AW1046" s="18"/>
      <c r="AX1046" s="18"/>
      <c r="AY1046" s="18"/>
      <c r="AZ1046" s="18"/>
      <c r="BA1046" s="18"/>
      <c r="BB1046" s="18"/>
      <c r="BC1046" s="18"/>
      <c r="BD1046" s="18"/>
      <c r="BE1046" s="18"/>
      <c r="BF1046" s="18"/>
      <c r="BG1046" s="18"/>
      <c r="BH1046" s="18"/>
      <c r="BI1046" s="18"/>
      <c r="BJ1046" s="18"/>
      <c r="BK1046" s="18"/>
      <c r="BL1046" s="18"/>
      <c r="BM1046" s="18"/>
      <c r="BN1046" s="18"/>
      <c r="BO1046" s="18"/>
    </row>
    <row r="1047" spans="1:67" x14ac:dyDescent="0.55000000000000004">
      <c r="A1047" s="31">
        <v>428</v>
      </c>
      <c r="B1047" s="5" t="s">
        <v>456</v>
      </c>
      <c r="C1047" s="13"/>
      <c r="D1047" s="13"/>
      <c r="E1047" s="13"/>
      <c r="F1047" s="13"/>
      <c r="G1047" s="13"/>
      <c r="H1047" s="28">
        <f>HYPERLINK("[P Only Old retention.xlsx]'Lake P Results'!AM143", 1000)</f>
        <v>1000</v>
      </c>
      <c r="I1047" s="28">
        <f>HYPERLINK("[P Only New retention.xlsx]'Lake P Results'!AM143", 1000)</f>
        <v>1000</v>
      </c>
      <c r="J1047" s="28">
        <f>HYPERLINK("[P Only with New retention and Differentiation.xlsx]'Lake P Results'!AM143", 1000)</f>
        <v>1000</v>
      </c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</row>
    <row r="1048" spans="1:67" x14ac:dyDescent="0.55000000000000004">
      <c r="A1048" s="30">
        <v>429</v>
      </c>
      <c r="B1048" s="6" t="s">
        <v>457</v>
      </c>
      <c r="C1048" s="18"/>
      <c r="D1048" s="18"/>
      <c r="E1048" s="18"/>
      <c r="F1048" s="18"/>
      <c r="G1048" s="18"/>
      <c r="H1048" s="26">
        <f>HYPERLINK("[P Only Old retention.xlsx]'Lake P Results'!AM144", 536300)</f>
        <v>536300</v>
      </c>
      <c r="I1048" s="26">
        <f>HYPERLINK("[P Only New retention.xlsx]'Lake P Results'!AM144", 536300)</f>
        <v>536300</v>
      </c>
      <c r="J1048" s="26">
        <f>HYPERLINK("[P Only with New retention and Differentiation.xlsx]'Lake P Results'!AM144", 536300)</f>
        <v>536300</v>
      </c>
      <c r="K1048" s="18"/>
      <c r="L1048" s="18"/>
      <c r="M1048" s="27">
        <f>HYPERLINK("[P Only Old retention.xlsx]'Lake P Results'!AC144", 0.11)</f>
        <v>0.11</v>
      </c>
      <c r="N1048" s="18"/>
      <c r="O1048" s="18"/>
      <c r="P1048" s="47">
        <f>N1048-M1048</f>
        <v>-0.11</v>
      </c>
      <c r="Q1048" s="47">
        <f>O1048-M1048</f>
        <v>-0.11</v>
      </c>
      <c r="R1048" s="18"/>
      <c r="S1048" s="18"/>
      <c r="T1048" s="27">
        <f>HYPERLINK("[P Only with New retention and Differentiation.xlsx]'Lake P Results'!Y144", 0.11)</f>
        <v>0.11</v>
      </c>
      <c r="U1048" s="18"/>
      <c r="V1048" s="46">
        <f>T1048-R1048</f>
        <v>0.11</v>
      </c>
      <c r="W1048" s="18"/>
      <c r="X1048" s="18"/>
      <c r="Y1048" s="18"/>
      <c r="Z1048" s="18"/>
      <c r="AA1048" s="18"/>
      <c r="AB1048" s="18"/>
      <c r="AC1048" s="27">
        <f>HYPERLINK("[P Only New retention.xlsx]'Lake P Results'!Z144", 0.11)</f>
        <v>0.11</v>
      </c>
      <c r="AD1048" s="18"/>
      <c r="AE1048" s="46">
        <f>AC1048-AB1048</f>
        <v>0.11</v>
      </c>
      <c r="AF1048" s="18"/>
      <c r="AG1048" s="27">
        <f>HYPERLINK("[P Only Old retention.xlsx]'Lake P Results'!AA144", 37.798)</f>
        <v>37.798000000000002</v>
      </c>
      <c r="AH1048" s="27">
        <f>HYPERLINK("[P Only New retention.xlsx]'Lake P Results'!AA144", 37.798)</f>
        <v>37.798000000000002</v>
      </c>
      <c r="AI1048" s="27">
        <f>HYPERLINK("[P Only with New retention and Differentiation.xlsx]'Lake P Results'!AA144", 37.798)</f>
        <v>37.798000000000002</v>
      </c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18"/>
      <c r="AW1048" s="18"/>
      <c r="AX1048" s="18"/>
      <c r="AY1048" s="18"/>
      <c r="AZ1048" s="18"/>
      <c r="BA1048" s="18"/>
      <c r="BB1048" s="18"/>
      <c r="BC1048" s="18"/>
      <c r="BD1048" s="18"/>
      <c r="BE1048" s="18"/>
      <c r="BF1048" s="18"/>
      <c r="BG1048" s="18"/>
      <c r="BH1048" s="18"/>
      <c r="BI1048" s="18"/>
      <c r="BJ1048" s="18"/>
      <c r="BK1048" s="27">
        <f>HYPERLINK("[P Only Old retention.xlsx]'Lake P Results'!Q144", 0.950000000000001)</f>
        <v>0.95000000000000095</v>
      </c>
      <c r="BL1048" s="27">
        <f>HYPERLINK("[P Only New retention.xlsx]'Lake P Results'!Q144", 0.950000000000001)</f>
        <v>0.95000000000000095</v>
      </c>
      <c r="BM1048" s="27">
        <f>HYPERLINK("[P Only with New retention and Differentiation.xlsx]'Lake P Results'!Q144", 0.950000000000001)</f>
        <v>0.95000000000000095</v>
      </c>
      <c r="BN1048" s="18"/>
      <c r="BO1048" s="18"/>
    </row>
    <row r="1049" spans="1:67" x14ac:dyDescent="0.55000000000000004">
      <c r="A1049" s="31">
        <v>430</v>
      </c>
      <c r="B1049" s="5" t="s">
        <v>458</v>
      </c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</row>
    <row r="1050" spans="1:67" x14ac:dyDescent="0.55000000000000004">
      <c r="A1050" s="30">
        <v>432</v>
      </c>
      <c r="B1050" s="6" t="s">
        <v>459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18"/>
      <c r="AW1050" s="18"/>
      <c r="AX1050" s="18"/>
      <c r="AY1050" s="18"/>
      <c r="AZ1050" s="18"/>
      <c r="BA1050" s="18"/>
      <c r="BB1050" s="18"/>
      <c r="BC1050" s="18"/>
      <c r="BD1050" s="18"/>
      <c r="BE1050" s="18"/>
      <c r="BF1050" s="18"/>
      <c r="BG1050" s="18"/>
      <c r="BH1050" s="18"/>
      <c r="BI1050" s="18"/>
      <c r="BJ1050" s="18"/>
      <c r="BK1050" s="18"/>
      <c r="BL1050" s="18"/>
      <c r="BM1050" s="18"/>
      <c r="BN1050" s="18"/>
      <c r="BO1050" s="18"/>
    </row>
    <row r="1051" spans="1:67" x14ac:dyDescent="0.55000000000000004">
      <c r="A1051" s="31">
        <v>435</v>
      </c>
      <c r="B1051" s="5" t="s">
        <v>460</v>
      </c>
      <c r="C1051" s="13"/>
      <c r="D1051" s="13"/>
      <c r="E1051" s="13"/>
      <c r="F1051" s="13"/>
      <c r="G1051" s="13"/>
      <c r="H1051" s="28">
        <f>HYPERLINK("[P Only Old retention.xlsx]'Lake P Results'!AM147", 1000)</f>
        <v>1000</v>
      </c>
      <c r="I1051" s="28">
        <f>HYPERLINK("[P Only New retention.xlsx]'Lake P Results'!AM147", 1000)</f>
        <v>1000</v>
      </c>
      <c r="J1051" s="28">
        <f>HYPERLINK("[P Only with New retention and Differentiation.xlsx]'Lake P Results'!AM147", 1000)</f>
        <v>1000</v>
      </c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</row>
    <row r="1052" spans="1:67" x14ac:dyDescent="0.55000000000000004">
      <c r="A1052" s="30">
        <v>440</v>
      </c>
      <c r="B1052" s="6" t="s">
        <v>461</v>
      </c>
      <c r="C1052" s="18"/>
      <c r="D1052" s="18"/>
      <c r="E1052" s="18"/>
      <c r="F1052" s="18"/>
      <c r="G1052" s="18"/>
      <c r="H1052" s="26">
        <f>HYPERLINK("[P Only Old retention.xlsx]'Lake P Results'!AM148", 59900)</f>
        <v>59900</v>
      </c>
      <c r="I1052" s="26">
        <f>HYPERLINK("[P Only New retention.xlsx]'Lake P Results'!AM148", 59900)</f>
        <v>59900</v>
      </c>
      <c r="J1052" s="26">
        <f>HYPERLINK("[P Only with New retention and Differentiation.xlsx]'Lake P Results'!AM148", 59900)</f>
        <v>59900</v>
      </c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  <c r="AV1052" s="18"/>
      <c r="AW1052" s="18"/>
      <c r="AX1052" s="18"/>
      <c r="AY1052" s="18"/>
      <c r="AZ1052" s="18"/>
      <c r="BA1052" s="18"/>
      <c r="BB1052" s="18"/>
      <c r="BC1052" s="18"/>
      <c r="BD1052" s="18"/>
      <c r="BE1052" s="18"/>
      <c r="BF1052" s="18"/>
      <c r="BG1052" s="18"/>
      <c r="BH1052" s="18"/>
      <c r="BI1052" s="18"/>
      <c r="BJ1052" s="18"/>
      <c r="BK1052" s="18"/>
      <c r="BL1052" s="18"/>
      <c r="BM1052" s="18"/>
      <c r="BN1052" s="18"/>
      <c r="BO1052" s="18"/>
    </row>
    <row r="1053" spans="1:67" x14ac:dyDescent="0.55000000000000004">
      <c r="A1053" s="31">
        <v>443</v>
      </c>
      <c r="B1053" s="5" t="s">
        <v>462</v>
      </c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</row>
    <row r="1054" spans="1:67" x14ac:dyDescent="0.55000000000000004">
      <c r="A1054" s="30">
        <v>444</v>
      </c>
      <c r="B1054" s="6" t="s">
        <v>463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  <c r="AV1054" s="18"/>
      <c r="AW1054" s="18"/>
      <c r="AX1054" s="18"/>
      <c r="AY1054" s="18"/>
      <c r="AZ1054" s="18"/>
      <c r="BA1054" s="18"/>
      <c r="BB1054" s="18"/>
      <c r="BC1054" s="18"/>
      <c r="BD1054" s="18"/>
      <c r="BE1054" s="18"/>
      <c r="BF1054" s="18"/>
      <c r="BG1054" s="18"/>
      <c r="BH1054" s="18"/>
      <c r="BI1054" s="18"/>
      <c r="BJ1054" s="18"/>
      <c r="BK1054" s="18"/>
      <c r="BL1054" s="18"/>
      <c r="BM1054" s="18"/>
      <c r="BN1054" s="18"/>
      <c r="BO1054" s="18"/>
    </row>
    <row r="1055" spans="1:67" x14ac:dyDescent="0.55000000000000004">
      <c r="A1055" s="31">
        <v>446</v>
      </c>
      <c r="B1055" s="5" t="s">
        <v>464</v>
      </c>
      <c r="C1055" s="13"/>
      <c r="D1055" s="13"/>
      <c r="E1055" s="13"/>
      <c r="F1055" s="13"/>
      <c r="G1055" s="13"/>
      <c r="H1055" s="28">
        <f>HYPERLINK("[P Only Old retention.xlsx]'Lake P Results'!AM151", 18700)</f>
        <v>18700</v>
      </c>
      <c r="I1055" s="28">
        <f>HYPERLINK("[P Only New retention.xlsx]'Lake P Results'!AM151", 18500)</f>
        <v>18500</v>
      </c>
      <c r="J1055" s="28">
        <f>HYPERLINK("[P Only with New retention and Differentiation.xlsx]'Lake P Results'!AM151", 18600)</f>
        <v>18600</v>
      </c>
      <c r="K1055" s="21">
        <f>I1055-H1055</f>
        <v>-200</v>
      </c>
      <c r="L1055" s="21">
        <f>J1055-H1055</f>
        <v>-100</v>
      </c>
      <c r="M1055" s="29">
        <f>HYPERLINK("[P Only Old retention.xlsx]'Lake P Results'!AC151", 1.112)</f>
        <v>1.1120000000000001</v>
      </c>
      <c r="N1055" s="29">
        <f>HYPERLINK("[P Only New retention.xlsx]'Lake P Results'!AC151", 2.202)</f>
        <v>2.202</v>
      </c>
      <c r="O1055" s="29">
        <f>HYPERLINK("[P Only with New retention and Differentiation.xlsx]'Lake P Results'!AC151", 2.572)</f>
        <v>2.5720000000000001</v>
      </c>
      <c r="P1055" s="46">
        <f>N1055-M1055</f>
        <v>1.0899999999999999</v>
      </c>
      <c r="Q1055" s="46">
        <f>O1055-M1055</f>
        <v>1.46</v>
      </c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29">
        <f>HYPERLINK("[P Only Old retention.xlsx]'Lake P Results'!AA151", 12.814)</f>
        <v>12.814</v>
      </c>
      <c r="AH1055" s="29">
        <f>HYPERLINK("[P Only New retention.xlsx]'Lake P Results'!AA151", 12.814)</f>
        <v>12.814</v>
      </c>
      <c r="AI1055" s="29">
        <f>HYPERLINK("[P Only with New retention and Differentiation.xlsx]'Lake P Results'!AA151", 12.988)</f>
        <v>12.988</v>
      </c>
      <c r="AJ1055" s="13"/>
      <c r="AK1055" s="46">
        <f>AI1055-AG1055</f>
        <v>0.17399999999999949</v>
      </c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29">
        <f>HYPERLINK("[P Only Old retention.xlsx]'Lake P Results'!Q151", 0.35)</f>
        <v>0.35</v>
      </c>
      <c r="BL1055" s="29">
        <f>HYPERLINK("[P Only New retention.xlsx]'Lake P Results'!Q151", 0.35)</f>
        <v>0.35</v>
      </c>
      <c r="BM1055" s="29">
        <f>HYPERLINK("[P Only with New retention and Differentiation.xlsx]'Lake P Results'!Q151", 0.35)</f>
        <v>0.35</v>
      </c>
      <c r="BN1055" s="13"/>
      <c r="BO1055" s="13"/>
    </row>
    <row r="1056" spans="1:67" x14ac:dyDescent="0.55000000000000004">
      <c r="A1056" s="30">
        <v>447</v>
      </c>
      <c r="B1056" s="6" t="s">
        <v>465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  <c r="AO1056" s="18"/>
      <c r="AP1056" s="18"/>
      <c r="AQ1056" s="18"/>
      <c r="AR1056" s="18"/>
      <c r="AS1056" s="18"/>
      <c r="AT1056" s="18"/>
      <c r="AU1056" s="18"/>
      <c r="AV1056" s="18"/>
      <c r="AW1056" s="18"/>
      <c r="AX1056" s="18"/>
      <c r="AY1056" s="18"/>
      <c r="AZ1056" s="18"/>
      <c r="BA1056" s="18"/>
      <c r="BB1056" s="18"/>
      <c r="BC1056" s="18"/>
      <c r="BD1056" s="18"/>
      <c r="BE1056" s="18"/>
      <c r="BF1056" s="18"/>
      <c r="BG1056" s="18"/>
      <c r="BH1056" s="18"/>
      <c r="BI1056" s="18"/>
      <c r="BJ1056" s="18"/>
      <c r="BK1056" s="18"/>
      <c r="BL1056" s="18"/>
      <c r="BM1056" s="18"/>
      <c r="BN1056" s="18"/>
      <c r="BO1056" s="18"/>
    </row>
    <row r="1057" spans="1:67" x14ac:dyDescent="0.55000000000000004">
      <c r="A1057" s="31">
        <v>448</v>
      </c>
      <c r="B1057" s="5" t="s">
        <v>466</v>
      </c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  <c r="BO1057" s="13"/>
    </row>
    <row r="1058" spans="1:67" x14ac:dyDescent="0.55000000000000004">
      <c r="A1058" s="30">
        <v>450</v>
      </c>
      <c r="B1058" s="6" t="s">
        <v>467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  <c r="AO1058" s="18"/>
      <c r="AP1058" s="18"/>
      <c r="AQ1058" s="18"/>
      <c r="AR1058" s="18"/>
      <c r="AS1058" s="18"/>
      <c r="AT1058" s="18"/>
      <c r="AU1058" s="18"/>
      <c r="AV1058" s="18"/>
      <c r="AW1058" s="18"/>
      <c r="AX1058" s="18"/>
      <c r="AY1058" s="18"/>
      <c r="AZ1058" s="18"/>
      <c r="BA1058" s="18"/>
      <c r="BB1058" s="18"/>
      <c r="BC1058" s="18"/>
      <c r="BD1058" s="18"/>
      <c r="BE1058" s="18"/>
      <c r="BF1058" s="18"/>
      <c r="BG1058" s="18"/>
      <c r="BH1058" s="18"/>
      <c r="BI1058" s="18"/>
      <c r="BJ1058" s="18"/>
      <c r="BK1058" s="18"/>
      <c r="BL1058" s="18"/>
      <c r="BM1058" s="18"/>
      <c r="BN1058" s="18"/>
      <c r="BO1058" s="18"/>
    </row>
    <row r="1059" spans="1:67" x14ac:dyDescent="0.55000000000000004">
      <c r="A1059" s="31">
        <v>451</v>
      </c>
      <c r="B1059" s="5" t="s">
        <v>468</v>
      </c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  <c r="BO1059" s="13"/>
    </row>
    <row r="1060" spans="1:67" x14ac:dyDescent="0.55000000000000004">
      <c r="A1060" s="30">
        <v>453</v>
      </c>
      <c r="B1060" s="6" t="s">
        <v>469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18"/>
      <c r="AQ1060" s="18"/>
      <c r="AR1060" s="18"/>
      <c r="AS1060" s="18"/>
      <c r="AT1060" s="18"/>
      <c r="AU1060" s="18"/>
      <c r="AV1060" s="18"/>
      <c r="AW1060" s="18"/>
      <c r="AX1060" s="18"/>
      <c r="AY1060" s="18"/>
      <c r="AZ1060" s="18"/>
      <c r="BA1060" s="18"/>
      <c r="BB1060" s="18"/>
      <c r="BC1060" s="18"/>
      <c r="BD1060" s="18"/>
      <c r="BE1060" s="18"/>
      <c r="BF1060" s="18"/>
      <c r="BG1060" s="18"/>
      <c r="BH1060" s="18"/>
      <c r="BI1060" s="18"/>
      <c r="BJ1060" s="18"/>
      <c r="BK1060" s="18"/>
      <c r="BL1060" s="18"/>
      <c r="BM1060" s="18"/>
      <c r="BN1060" s="18"/>
      <c r="BO1060" s="18"/>
    </row>
    <row r="1061" spans="1:67" x14ac:dyDescent="0.55000000000000004">
      <c r="A1061" s="31">
        <v>455</v>
      </c>
      <c r="B1061" s="5" t="s">
        <v>470</v>
      </c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  <c r="BO1061" s="13"/>
    </row>
    <row r="1062" spans="1:67" x14ac:dyDescent="0.55000000000000004">
      <c r="A1062" s="30">
        <v>456</v>
      </c>
      <c r="B1062" s="6" t="s">
        <v>471</v>
      </c>
      <c r="C1062" s="27">
        <f>HYPERLINK("[P Only Old retention.xlsx]'Lake P Results'!AE158", 32.128)</f>
        <v>32.128</v>
      </c>
      <c r="D1062" s="27">
        <f>HYPERLINK("[P Only New retention.xlsx]'Lake P Results'!AE158", 32.128)</f>
        <v>32.128</v>
      </c>
      <c r="E1062" s="27">
        <f>HYPERLINK("[P Only with New retention and Differentiation.xlsx]'Lake P Results'!AE158", 32.128)</f>
        <v>32.128</v>
      </c>
      <c r="F1062" s="18"/>
      <c r="G1062" s="18"/>
      <c r="H1062" s="26">
        <f>HYPERLINK("[P Only Old retention.xlsx]'Lake P Results'!AM158", 351400)</f>
        <v>351400</v>
      </c>
      <c r="I1062" s="26">
        <f>HYPERLINK("[P Only New retention.xlsx]'Lake P Results'!AM158", 351400)</f>
        <v>351400</v>
      </c>
      <c r="J1062" s="26">
        <f>HYPERLINK("[P Only with New retention and Differentiation.xlsx]'Lake P Results'!AM158", 351400)</f>
        <v>351400</v>
      </c>
      <c r="K1062" s="18"/>
      <c r="L1062" s="18"/>
      <c r="M1062" s="27">
        <f>HYPERLINK("[P Only Old retention.xlsx]'Lake P Results'!AC158", 47.784)</f>
        <v>47.783999999999999</v>
      </c>
      <c r="N1062" s="27">
        <f>HYPERLINK("[P Only New retention.xlsx]'Lake P Results'!AC158", 45.854)</f>
        <v>45.853999999999999</v>
      </c>
      <c r="O1062" s="27">
        <f>HYPERLINK("[P Only with New retention and Differentiation.xlsx]'Lake P Results'!AC158", 56.93)</f>
        <v>56.93</v>
      </c>
      <c r="P1062" s="47">
        <f>N1062-M1062</f>
        <v>-1.9299999999999997</v>
      </c>
      <c r="Q1062" s="46">
        <f>O1062-M1062</f>
        <v>9.1460000000000008</v>
      </c>
      <c r="R1062" s="27">
        <f>HYPERLINK("[P Only Old retention.xlsx]'Lake P Results'!Y158", 945.852)</f>
        <v>945.85199999999998</v>
      </c>
      <c r="S1062" s="27">
        <f>HYPERLINK("[P Only New retention.xlsx]'Lake P Results'!Y158", 957.302)</f>
        <v>957.30200000000002</v>
      </c>
      <c r="T1062" s="27">
        <f>HYPERLINK("[P Only with New retention and Differentiation.xlsx]'Lake P Results'!Y158", 949.286)</f>
        <v>949.28599999999994</v>
      </c>
      <c r="U1062" s="46">
        <f>S1062-R1062</f>
        <v>11.450000000000045</v>
      </c>
      <c r="V1062" s="46">
        <f>T1062-R1062</f>
        <v>3.4339999999999691</v>
      </c>
      <c r="W1062" s="27">
        <f>HYPERLINK("[P Only Old retention.xlsx]'Lake P Results'!V158", 898.814)</f>
        <v>898.81399999999996</v>
      </c>
      <c r="X1062" s="27">
        <f>HYPERLINK("[P Only New retention.xlsx]'Lake P Results'!V158", 898.814)</f>
        <v>898.81399999999996</v>
      </c>
      <c r="Y1062" s="27">
        <f>HYPERLINK("[P Only with New retention and Differentiation.xlsx]'Lake P Results'!V158", 898.814)</f>
        <v>898.81399999999996</v>
      </c>
      <c r="Z1062" s="18"/>
      <c r="AA1062" s="18"/>
      <c r="AB1062" s="27">
        <f>HYPERLINK("[P Only Old retention.xlsx]'Lake P Results'!Z158", 91.348)</f>
        <v>91.347999999999999</v>
      </c>
      <c r="AC1062" s="27">
        <f>HYPERLINK("[P Only New retention.xlsx]'Lake P Results'!Z158", 81.828)</f>
        <v>81.828000000000003</v>
      </c>
      <c r="AD1062" s="27">
        <f>HYPERLINK("[P Only with New retention and Differentiation.xlsx]'Lake P Results'!Z158", 78.768)</f>
        <v>78.768000000000001</v>
      </c>
      <c r="AE1062" s="47">
        <f>AC1062-AB1062</f>
        <v>-9.519999999999996</v>
      </c>
      <c r="AF1062" s="47">
        <f>AD1062-AB1062</f>
        <v>-12.579999999999998</v>
      </c>
      <c r="AG1062" s="27">
        <f>HYPERLINK("[P Only Old retention.xlsx]'Lake P Results'!AA158", 34.654)</f>
        <v>34.654000000000003</v>
      </c>
      <c r="AH1062" s="27">
        <f>HYPERLINK("[P Only New retention.xlsx]'Lake P Results'!AA158", 34.654)</f>
        <v>34.654000000000003</v>
      </c>
      <c r="AI1062" s="27">
        <f>HYPERLINK("[P Only with New retention and Differentiation.xlsx]'Lake P Results'!AA158", 34.654)</f>
        <v>34.654000000000003</v>
      </c>
      <c r="AJ1062" s="18"/>
      <c r="AK1062" s="18"/>
      <c r="AL1062" s="27">
        <f>HYPERLINK("[P Only Old retention.xlsx]'Lake P Results'!AF158", 3.81)</f>
        <v>3.81</v>
      </c>
      <c r="AM1062" s="27">
        <f>HYPERLINK("[P Only New retention.xlsx]'Lake P Results'!AF158", 3.81)</f>
        <v>3.81</v>
      </c>
      <c r="AN1062" s="27">
        <f>HYPERLINK("[P Only with New retention and Differentiation.xlsx]'Lake P Results'!AF158", 3.81)</f>
        <v>3.81</v>
      </c>
      <c r="AO1062" s="18"/>
      <c r="AP1062" s="18"/>
      <c r="AQ1062" s="26">
        <f>HYPERLINK("[P Only Old retention.xlsx]'Lake P Results'!AH158", 11069.9999999923)</f>
        <v>11069.9999999923</v>
      </c>
      <c r="AR1062" s="26">
        <f>HYPERLINK("[P Only New retention.xlsx]'Lake P Results'!AH158", 11069.9999999923)</f>
        <v>11069.9999999923</v>
      </c>
      <c r="AS1062" s="26">
        <f>HYPERLINK("[P Only with New retention and Differentiation.xlsx]'Lake P Results'!AH158", 11069.9999999923)</f>
        <v>11069.9999999923</v>
      </c>
      <c r="AT1062" s="18"/>
      <c r="AU1062" s="18"/>
      <c r="AV1062" s="27">
        <f>HYPERLINK("[P Only Old retention.xlsx]'Lake P Results'!M158", 10273.03)</f>
        <v>10273.030000000001</v>
      </c>
      <c r="AW1062" s="27">
        <f>HYPERLINK("[P Only New retention.xlsx]'Lake P Results'!M158", 10273.03)</f>
        <v>10273.030000000001</v>
      </c>
      <c r="AX1062" s="27">
        <f>HYPERLINK("[P Only with New retention and Differentiation.xlsx]'Lake P Results'!M158", 10273.03)</f>
        <v>10273.030000000001</v>
      </c>
      <c r="AY1062" s="18"/>
      <c r="AZ1062" s="18"/>
      <c r="BA1062" s="27">
        <f>HYPERLINK("[P Only Old retention.xlsx]'Lake P Results'!O158", 1467.96249279779)</f>
        <v>1467.96249279779</v>
      </c>
      <c r="BB1062" s="27">
        <f>HYPERLINK("[P Only New retention.xlsx]'Lake P Results'!O158", 1467.96249279779)</f>
        <v>1467.96249279779</v>
      </c>
      <c r="BC1062" s="27">
        <f>HYPERLINK("[P Only with New retention and Differentiation.xlsx]'Lake P Results'!O158", 1467.96249279779)</f>
        <v>1467.96249279779</v>
      </c>
      <c r="BD1062" s="18"/>
      <c r="BE1062" s="18"/>
      <c r="BF1062" s="18"/>
      <c r="BG1062" s="18"/>
      <c r="BH1062" s="18"/>
      <c r="BI1062" s="18"/>
      <c r="BJ1062" s="18"/>
      <c r="BK1062" s="18"/>
      <c r="BL1062" s="18"/>
      <c r="BM1062" s="18"/>
      <c r="BN1062" s="18"/>
      <c r="BO1062" s="18"/>
    </row>
    <row r="1063" spans="1:67" x14ac:dyDescent="0.55000000000000004">
      <c r="A1063" s="31">
        <v>458</v>
      </c>
      <c r="B1063" s="5" t="s">
        <v>472</v>
      </c>
      <c r="C1063" s="29">
        <f>HYPERLINK("[P Only Old retention.xlsx]'Lake P Results'!AE159", 1.102)</f>
        <v>1.1020000000000001</v>
      </c>
      <c r="D1063" s="29">
        <f>HYPERLINK("[P Only New retention.xlsx]'Lake P Results'!AE159", 1.102)</f>
        <v>1.1020000000000001</v>
      </c>
      <c r="E1063" s="29">
        <f>HYPERLINK("[P Only with New retention and Differentiation.xlsx]'Lake P Results'!AE159", 1.102)</f>
        <v>1.1020000000000001</v>
      </c>
      <c r="F1063" s="13"/>
      <c r="G1063" s="13"/>
      <c r="H1063" s="28">
        <f>HYPERLINK("[P Only Old retention.xlsx]'Lake P Results'!AM159", 17600)</f>
        <v>17600</v>
      </c>
      <c r="I1063" s="28">
        <f>HYPERLINK("[P Only New retention.xlsx]'Lake P Results'!AM159", 17700)</f>
        <v>17700</v>
      </c>
      <c r="J1063" s="28">
        <f>HYPERLINK("[P Only with New retention and Differentiation.xlsx]'Lake P Results'!AM159", 17700)</f>
        <v>17700</v>
      </c>
      <c r="K1063" s="16">
        <f>I1063-H1063</f>
        <v>100</v>
      </c>
      <c r="L1063" s="16">
        <f>J1063-H1063</f>
        <v>100</v>
      </c>
      <c r="M1063" s="29">
        <f>HYPERLINK("[P Only Old retention.xlsx]'Lake P Results'!AC159", 370.336)</f>
        <v>370.33600000000001</v>
      </c>
      <c r="N1063" s="29">
        <f>HYPERLINK("[P Only New retention.xlsx]'Lake P Results'!AC159", 360.106)</f>
        <v>360.10599999999999</v>
      </c>
      <c r="O1063" s="29">
        <f>HYPERLINK("[P Only with New retention and Differentiation.xlsx]'Lake P Results'!AC159", 378.66)</f>
        <v>378.66</v>
      </c>
      <c r="P1063" s="47">
        <f>N1063-M1063</f>
        <v>-10.230000000000018</v>
      </c>
      <c r="Q1063" s="46">
        <f>O1063-M1063</f>
        <v>8.3240000000000123</v>
      </c>
      <c r="R1063" s="29">
        <f>HYPERLINK("[P Only Old retention.xlsx]'Lake P Results'!Y159", 111.618)</f>
        <v>111.61799999999999</v>
      </c>
      <c r="S1063" s="29">
        <f>HYPERLINK("[P Only New retention.xlsx]'Lake P Results'!Y159", 182.296)</f>
        <v>182.29599999999999</v>
      </c>
      <c r="T1063" s="29">
        <f>HYPERLINK("[P Only with New retention and Differentiation.xlsx]'Lake P Results'!Y159", 147.69)</f>
        <v>147.69</v>
      </c>
      <c r="U1063" s="46">
        <f>S1063-R1063</f>
        <v>70.677999999999997</v>
      </c>
      <c r="V1063" s="46">
        <f>T1063-R1063</f>
        <v>36.072000000000003</v>
      </c>
      <c r="W1063" s="29">
        <f>HYPERLINK("[P Only Old retention.xlsx]'Lake P Results'!V159", 228.17)</f>
        <v>228.17</v>
      </c>
      <c r="X1063" s="29">
        <f>HYPERLINK("[P Only New retention.xlsx]'Lake P Results'!V159", 228.17)</f>
        <v>228.17</v>
      </c>
      <c r="Y1063" s="29">
        <f>HYPERLINK("[P Only with New retention and Differentiation.xlsx]'Lake P Results'!V159", 228.17)</f>
        <v>228.17</v>
      </c>
      <c r="Z1063" s="13"/>
      <c r="AA1063" s="13"/>
      <c r="AB1063" s="29">
        <f>HYPERLINK("[P Only Old retention.xlsx]'Lake P Results'!Z159", 161.948)</f>
        <v>161.94800000000001</v>
      </c>
      <c r="AC1063" s="29">
        <f>HYPERLINK("[P Only New retention.xlsx]'Lake P Results'!Z159", 101.5)</f>
        <v>101.5</v>
      </c>
      <c r="AD1063" s="29">
        <f>HYPERLINK("[P Only with New retention and Differentiation.xlsx]'Lake P Results'!Z159", 117.552)</f>
        <v>117.55200000000001</v>
      </c>
      <c r="AE1063" s="47">
        <f>AC1063-AB1063</f>
        <v>-60.448000000000008</v>
      </c>
      <c r="AF1063" s="47">
        <f>AD1063-AB1063</f>
        <v>-44.396000000000001</v>
      </c>
      <c r="AG1063" s="29">
        <f>HYPERLINK("[P Only Old retention.xlsx]'Lake P Results'!AA159", 186.496)</f>
        <v>186.49600000000001</v>
      </c>
      <c r="AH1063" s="29">
        <f>HYPERLINK("[P Only New retention.xlsx]'Lake P Results'!AA159", 186.496)</f>
        <v>186.49600000000001</v>
      </c>
      <c r="AI1063" s="29">
        <f>HYPERLINK("[P Only with New retention and Differentiation.xlsx]'Lake P Results'!AA159", 186.496)</f>
        <v>186.49600000000001</v>
      </c>
      <c r="AJ1063" s="13"/>
      <c r="AK1063" s="13"/>
      <c r="AL1063" s="13"/>
      <c r="AM1063" s="13"/>
      <c r="AN1063" s="13"/>
      <c r="AO1063" s="13"/>
      <c r="AP1063" s="13"/>
      <c r="AQ1063" s="28">
        <f>HYPERLINK("[P Only Old retention.xlsx]'Lake P Results'!AH159", 1140)</f>
        <v>1140</v>
      </c>
      <c r="AR1063" s="28">
        <f>HYPERLINK("[P Only New retention.xlsx]'Lake P Results'!AH159", 1120)</f>
        <v>1120</v>
      </c>
      <c r="AS1063" s="28">
        <f>HYPERLINK("[P Only with New retention and Differentiation.xlsx]'Lake P Results'!AH159", 1120)</f>
        <v>1120</v>
      </c>
      <c r="AT1063" s="21">
        <f>AR1063-AQ1063</f>
        <v>-20</v>
      </c>
      <c r="AU1063" s="21">
        <f>AS1063-AQ1063</f>
        <v>-20</v>
      </c>
      <c r="AV1063" s="29">
        <f>HYPERLINK("[P Only Old retention.xlsx]'Lake P Results'!M159", 116.92)</f>
        <v>116.92</v>
      </c>
      <c r="AW1063" s="29">
        <f>HYPERLINK("[P Only New retention.xlsx]'Lake P Results'!M159", 116.92)</f>
        <v>116.92</v>
      </c>
      <c r="AX1063" s="29">
        <f>HYPERLINK("[P Only with New retention and Differentiation.xlsx]'Lake P Results'!M159", 116.92)</f>
        <v>116.92</v>
      </c>
      <c r="AY1063" s="13"/>
      <c r="AZ1063" s="13"/>
      <c r="BA1063" s="29">
        <f>HYPERLINK("[P Only Old retention.xlsx]'Lake P Results'!O159", 13.072)</f>
        <v>13.071999999999999</v>
      </c>
      <c r="BB1063" s="29">
        <f>HYPERLINK("[P Only New retention.xlsx]'Lake P Results'!O159", 18.372)</f>
        <v>18.372</v>
      </c>
      <c r="BC1063" s="29">
        <f>HYPERLINK("[P Only with New retention and Differentiation.xlsx]'Lake P Results'!O159", 18.372)</f>
        <v>18.372</v>
      </c>
      <c r="BD1063" s="46">
        <f>BB1063-BA1063</f>
        <v>5.3000000000000007</v>
      </c>
      <c r="BE1063" s="46">
        <f>BC1063-BA1063</f>
        <v>5.3000000000000007</v>
      </c>
      <c r="BF1063" s="13"/>
      <c r="BG1063" s="13"/>
      <c r="BH1063" s="13"/>
      <c r="BI1063" s="13"/>
      <c r="BJ1063" s="13"/>
      <c r="BK1063" s="13"/>
      <c r="BL1063" s="13"/>
      <c r="BM1063" s="13"/>
      <c r="BN1063" s="13"/>
      <c r="BO1063" s="13"/>
    </row>
    <row r="1064" spans="1:67" x14ac:dyDescent="0.55000000000000004">
      <c r="A1064" s="30">
        <v>461</v>
      </c>
      <c r="B1064" s="6" t="s">
        <v>473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  <c r="AO1064" s="18"/>
      <c r="AP1064" s="18"/>
      <c r="AQ1064" s="18"/>
      <c r="AR1064" s="18"/>
      <c r="AS1064" s="18"/>
      <c r="AT1064" s="18"/>
      <c r="AU1064" s="18"/>
      <c r="AV1064" s="18"/>
      <c r="AW1064" s="18"/>
      <c r="AX1064" s="18"/>
      <c r="AY1064" s="18"/>
      <c r="AZ1064" s="18"/>
      <c r="BA1064" s="18"/>
      <c r="BB1064" s="18"/>
      <c r="BC1064" s="18"/>
      <c r="BD1064" s="18"/>
      <c r="BE1064" s="18"/>
      <c r="BF1064" s="18"/>
      <c r="BG1064" s="18"/>
      <c r="BH1064" s="18"/>
      <c r="BI1064" s="18"/>
      <c r="BJ1064" s="18"/>
      <c r="BK1064" s="18"/>
      <c r="BL1064" s="18"/>
      <c r="BM1064" s="18"/>
      <c r="BN1064" s="18"/>
      <c r="BO1064" s="18"/>
    </row>
    <row r="1065" spans="1:67" x14ac:dyDescent="0.55000000000000004">
      <c r="A1065" s="31">
        <v>462</v>
      </c>
      <c r="B1065" s="5" t="s">
        <v>474</v>
      </c>
      <c r="C1065" s="13"/>
      <c r="D1065" s="13"/>
      <c r="E1065" s="13"/>
      <c r="F1065" s="13"/>
      <c r="G1065" s="13"/>
      <c r="H1065" s="28">
        <f>HYPERLINK("[P Only Old retention.xlsx]'Lake P Results'!AM161", 300)</f>
        <v>300</v>
      </c>
      <c r="I1065" s="28">
        <f>HYPERLINK("[P Only New retention.xlsx]'Lake P Results'!AM161", 300)</f>
        <v>300</v>
      </c>
      <c r="J1065" s="28">
        <f>HYPERLINK("[P Only with New retention and Differentiation.xlsx]'Lake P Results'!AM161", 300)</f>
        <v>300</v>
      </c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29">
        <f>HYPERLINK("[P Only Old retention.xlsx]'Lake P Results'!AA161", 11.14)</f>
        <v>11.14</v>
      </c>
      <c r="AH1065" s="29">
        <f>HYPERLINK("[P Only New retention.xlsx]'Lake P Results'!AA161", 11.14)</f>
        <v>11.14</v>
      </c>
      <c r="AI1065" s="29">
        <f>HYPERLINK("[P Only with New retention and Differentiation.xlsx]'Lake P Results'!AA161", 11.14)</f>
        <v>11.14</v>
      </c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  <c r="BO1065" s="13"/>
    </row>
    <row r="1066" spans="1:67" x14ac:dyDescent="0.55000000000000004">
      <c r="A1066" s="30">
        <v>469</v>
      </c>
      <c r="B1066" s="6" t="s">
        <v>475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  <c r="AO1066" s="18"/>
      <c r="AP1066" s="18"/>
      <c r="AQ1066" s="18"/>
      <c r="AR1066" s="18"/>
      <c r="AS1066" s="18"/>
      <c r="AT1066" s="18"/>
      <c r="AU1066" s="18"/>
      <c r="AV1066" s="18"/>
      <c r="AW1066" s="18"/>
      <c r="AX1066" s="18"/>
      <c r="AY1066" s="18"/>
      <c r="AZ1066" s="18"/>
      <c r="BA1066" s="18"/>
      <c r="BB1066" s="18"/>
      <c r="BC1066" s="18"/>
      <c r="BD1066" s="18"/>
      <c r="BE1066" s="18"/>
      <c r="BF1066" s="18"/>
      <c r="BG1066" s="18"/>
      <c r="BH1066" s="18"/>
      <c r="BI1066" s="18"/>
      <c r="BJ1066" s="18"/>
      <c r="BK1066" s="18"/>
      <c r="BL1066" s="18"/>
      <c r="BM1066" s="18"/>
      <c r="BN1066" s="18"/>
      <c r="BO1066" s="18"/>
    </row>
    <row r="1067" spans="1:67" x14ac:dyDescent="0.55000000000000004">
      <c r="A1067" s="31">
        <v>470</v>
      </c>
      <c r="B1067" s="5" t="s">
        <v>476</v>
      </c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  <c r="AZ1067" s="13"/>
      <c r="BA1067" s="13"/>
      <c r="BB1067" s="13"/>
      <c r="BC1067" s="13"/>
      <c r="BD1067" s="13"/>
      <c r="BE1067" s="13"/>
      <c r="BF1067" s="13"/>
      <c r="BG1067" s="13"/>
      <c r="BH1067" s="13"/>
      <c r="BI1067" s="13"/>
      <c r="BJ1067" s="13"/>
      <c r="BK1067" s="13"/>
      <c r="BL1067" s="13"/>
      <c r="BM1067" s="13"/>
      <c r="BN1067" s="13"/>
      <c r="BO1067" s="13"/>
    </row>
    <row r="1068" spans="1:67" x14ac:dyDescent="0.55000000000000004">
      <c r="A1068" s="30">
        <v>471</v>
      </c>
      <c r="B1068" s="6" t="s">
        <v>477</v>
      </c>
      <c r="C1068" s="18"/>
      <c r="D1068" s="18"/>
      <c r="E1068" s="18"/>
      <c r="F1068" s="18"/>
      <c r="G1068" s="18"/>
      <c r="H1068" s="26">
        <f>HYPERLINK("[P Only Old retention.xlsx]'Lake P Results'!AM164", 16600)</f>
        <v>16600</v>
      </c>
      <c r="I1068" s="26">
        <f>HYPERLINK("[P Only New retention.xlsx]'Lake P Results'!AM164", 16600)</f>
        <v>16600</v>
      </c>
      <c r="J1068" s="26">
        <f>HYPERLINK("[P Only with New retention and Differentiation.xlsx]'Lake P Results'!AM164", 16600)</f>
        <v>16600</v>
      </c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27">
        <f>HYPERLINK("[P Only Old retention.xlsx]'Lake P Results'!V164", 4.13)</f>
        <v>4.13</v>
      </c>
      <c r="X1068" s="27">
        <f>HYPERLINK("[P Only New retention.xlsx]'Lake P Results'!V164", 4.13)</f>
        <v>4.13</v>
      </c>
      <c r="Y1068" s="27">
        <f>HYPERLINK("[P Only with New retention and Differentiation.xlsx]'Lake P Results'!V164", 4.13)</f>
        <v>4.13</v>
      </c>
      <c r="Z1068" s="18"/>
      <c r="AA1068" s="18"/>
      <c r="AB1068" s="18"/>
      <c r="AC1068" s="18"/>
      <c r="AD1068" s="18"/>
      <c r="AE1068" s="18"/>
      <c r="AF1068" s="18"/>
      <c r="AG1068" s="27">
        <f>HYPERLINK("[P Only Old retention.xlsx]'Lake P Results'!AA164", 1.59)</f>
        <v>1.59</v>
      </c>
      <c r="AH1068" s="27">
        <f>HYPERLINK("[P Only New retention.xlsx]'Lake P Results'!AA164", 1.59)</f>
        <v>1.59</v>
      </c>
      <c r="AI1068" s="27">
        <f>HYPERLINK("[P Only with New retention and Differentiation.xlsx]'Lake P Results'!AA164", 1.59)</f>
        <v>1.59</v>
      </c>
      <c r="AJ1068" s="18"/>
      <c r="AK1068" s="18"/>
      <c r="AL1068" s="18"/>
      <c r="AM1068" s="18"/>
      <c r="AN1068" s="18"/>
      <c r="AO1068" s="18"/>
      <c r="AP1068" s="18"/>
      <c r="AQ1068" s="26">
        <f>HYPERLINK("[P Only Old retention.xlsx]'Lake P Results'!AH164", 110)</f>
        <v>110</v>
      </c>
      <c r="AR1068" s="26">
        <f>HYPERLINK("[P Only New retention.xlsx]'Lake P Results'!AH164", 110)</f>
        <v>110</v>
      </c>
      <c r="AS1068" s="26">
        <f>HYPERLINK("[P Only with New retention and Differentiation.xlsx]'Lake P Results'!AH164", 110)</f>
        <v>110</v>
      </c>
      <c r="AT1068" s="18"/>
      <c r="AU1068" s="18"/>
      <c r="AV1068" s="27">
        <f>HYPERLINK("[P Only Old retention.xlsx]'Lake P Results'!M164", 146.15)</f>
        <v>146.15</v>
      </c>
      <c r="AW1068" s="27">
        <f>HYPERLINK("[P Only New retention.xlsx]'Lake P Results'!M164", 146.15)</f>
        <v>146.15</v>
      </c>
      <c r="AX1068" s="27">
        <f>HYPERLINK("[P Only with New retention and Differentiation.xlsx]'Lake P Results'!M164", 146.15)</f>
        <v>146.15</v>
      </c>
      <c r="AY1068" s="18"/>
      <c r="AZ1068" s="18"/>
      <c r="BA1068" s="27">
        <f>HYPERLINK("[P Only Old retention.xlsx]'Lake P Results'!O164", 4.526)</f>
        <v>4.5259999999999998</v>
      </c>
      <c r="BB1068" s="27">
        <f>HYPERLINK("[P Only New retention.xlsx]'Lake P Results'!O164", 4.526)</f>
        <v>4.5259999999999998</v>
      </c>
      <c r="BC1068" s="27">
        <f>HYPERLINK("[P Only with New retention and Differentiation.xlsx]'Lake P Results'!O164", 4.526)</f>
        <v>4.5259999999999998</v>
      </c>
      <c r="BD1068" s="18"/>
      <c r="BE1068" s="18"/>
      <c r="BF1068" s="18"/>
      <c r="BG1068" s="18"/>
      <c r="BH1068" s="18"/>
      <c r="BI1068" s="18"/>
      <c r="BJ1068" s="18"/>
      <c r="BK1068" s="18"/>
      <c r="BL1068" s="18"/>
      <c r="BM1068" s="18"/>
      <c r="BN1068" s="18"/>
      <c r="BO1068" s="18"/>
    </row>
    <row r="1069" spans="1:67" x14ac:dyDescent="0.55000000000000004">
      <c r="A1069" s="31">
        <v>472</v>
      </c>
      <c r="B1069" s="5" t="s">
        <v>478</v>
      </c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  <c r="AZ1069" s="13"/>
      <c r="BA1069" s="13"/>
      <c r="BB1069" s="13"/>
      <c r="BC1069" s="13"/>
      <c r="BD1069" s="13"/>
      <c r="BE1069" s="13"/>
      <c r="BF1069" s="13"/>
      <c r="BG1069" s="13"/>
      <c r="BH1069" s="13"/>
      <c r="BI1069" s="13"/>
      <c r="BJ1069" s="13"/>
      <c r="BK1069" s="13"/>
      <c r="BL1069" s="13"/>
      <c r="BM1069" s="13"/>
      <c r="BN1069" s="13"/>
      <c r="BO1069" s="13"/>
    </row>
    <row r="1070" spans="1:67" x14ac:dyDescent="0.55000000000000004">
      <c r="A1070" s="30">
        <v>473</v>
      </c>
      <c r="B1070" s="6" t="s">
        <v>479</v>
      </c>
      <c r="C1070" s="27">
        <f>HYPERLINK("[P Only Old retention.xlsx]'Lake P Results'!AE166", 5.63000000000001)</f>
        <v>5.6300000000000097</v>
      </c>
      <c r="D1070" s="27">
        <f>HYPERLINK("[P Only New retention.xlsx]'Lake P Results'!AE166", 5.63000000000001)</f>
        <v>5.6300000000000097</v>
      </c>
      <c r="E1070" s="27">
        <f>HYPERLINK("[P Only with New retention and Differentiation.xlsx]'Lake P Results'!AE166", 5.63000000000001)</f>
        <v>5.6300000000000097</v>
      </c>
      <c r="F1070" s="18"/>
      <c r="G1070" s="18"/>
      <c r="H1070" s="26">
        <f>HYPERLINK("[P Only Old retention.xlsx]'Lake P Results'!AM166", 43500)</f>
        <v>43500</v>
      </c>
      <c r="I1070" s="26">
        <f>HYPERLINK("[P Only New retention.xlsx]'Lake P Results'!AM166", 43500)</f>
        <v>43500</v>
      </c>
      <c r="J1070" s="26">
        <f>HYPERLINK("[P Only with New retention and Differentiation.xlsx]'Lake P Results'!AM166", 43500)</f>
        <v>43500</v>
      </c>
      <c r="K1070" s="18"/>
      <c r="L1070" s="18"/>
      <c r="M1070" s="27">
        <f>HYPERLINK("[P Only Old retention.xlsx]'Lake P Results'!AC166", 1050.552)</f>
        <v>1050.5519999999999</v>
      </c>
      <c r="N1070" s="27">
        <f>HYPERLINK("[P Only New retention.xlsx]'Lake P Results'!AC166", 1034.552)</f>
        <v>1034.5519999999999</v>
      </c>
      <c r="O1070" s="27">
        <f>HYPERLINK("[P Only with New retention and Differentiation.xlsx]'Lake P Results'!AC166", 1022.422)</f>
        <v>1022.422</v>
      </c>
      <c r="P1070" s="47">
        <f>N1070-M1070</f>
        <v>-16</v>
      </c>
      <c r="Q1070" s="47">
        <f>O1070-M1070</f>
        <v>-28.129999999999882</v>
      </c>
      <c r="R1070" s="18"/>
      <c r="S1070" s="27">
        <f>HYPERLINK("[P Only New retention.xlsx]'Lake P Results'!Y166", 12.81)</f>
        <v>12.81</v>
      </c>
      <c r="T1070" s="27">
        <f>HYPERLINK("[P Only with New retention and Differentiation.xlsx]'Lake P Results'!Y166", 15.63)</f>
        <v>15.63</v>
      </c>
      <c r="U1070" s="46">
        <f>S1070-R1070</f>
        <v>12.81</v>
      </c>
      <c r="V1070" s="46">
        <f>T1070-R1070</f>
        <v>15.63</v>
      </c>
      <c r="W1070" s="27">
        <f>HYPERLINK("[P Only Old retention.xlsx]'Lake P Results'!V166", 71.966)</f>
        <v>71.965999999999994</v>
      </c>
      <c r="X1070" s="27">
        <f>HYPERLINK("[P Only New retention.xlsx]'Lake P Results'!V166", 82.256)</f>
        <v>82.256</v>
      </c>
      <c r="Y1070" s="27">
        <f>HYPERLINK("[P Only with New retention and Differentiation.xlsx]'Lake P Results'!V166", 82.256)</f>
        <v>82.256</v>
      </c>
      <c r="Z1070" s="46">
        <f>X1070-W1070</f>
        <v>10.290000000000006</v>
      </c>
      <c r="AA1070" s="46">
        <f>Y1070-W1070</f>
        <v>10.290000000000006</v>
      </c>
      <c r="AB1070" s="27">
        <f>HYPERLINK("[P Only Old retention.xlsx]'Lake P Results'!Z166", 16.27)</f>
        <v>16.27</v>
      </c>
      <c r="AC1070" s="27">
        <f>HYPERLINK("[P Only New retention.xlsx]'Lake P Results'!Z166", 6.27)</f>
        <v>6.27</v>
      </c>
      <c r="AD1070" s="27">
        <f>HYPERLINK("[P Only with New retention and Differentiation.xlsx]'Lake P Results'!Z166", 15.58)</f>
        <v>15.58</v>
      </c>
      <c r="AE1070" s="47">
        <f>AC1070-AB1070</f>
        <v>-10</v>
      </c>
      <c r="AF1070" s="47">
        <f>AD1070-AB1070</f>
        <v>-0.6899999999999995</v>
      </c>
      <c r="AG1070" s="27">
        <f>HYPERLINK("[P Only Old retention.xlsx]'Lake P Results'!AA166", 37.934)</f>
        <v>37.933999999999997</v>
      </c>
      <c r="AH1070" s="27">
        <f>HYPERLINK("[P Only New retention.xlsx]'Lake P Results'!AA166", 34.254)</f>
        <v>34.253999999999998</v>
      </c>
      <c r="AI1070" s="27">
        <f>HYPERLINK("[P Only with New retention and Differentiation.xlsx]'Lake P Results'!AA166", 34.254)</f>
        <v>34.253999999999998</v>
      </c>
      <c r="AJ1070" s="47">
        <f>AH1070-AG1070</f>
        <v>-3.6799999999999997</v>
      </c>
      <c r="AK1070" s="47">
        <f>AI1070-AG1070</f>
        <v>-3.6799999999999997</v>
      </c>
      <c r="AL1070" s="27">
        <f>HYPERLINK("[P Only Old retention.xlsx]'Lake P Results'!AF166", 1.73)</f>
        <v>1.73</v>
      </c>
      <c r="AM1070" s="27">
        <f>HYPERLINK("[P Only New retention.xlsx]'Lake P Results'!AF166", 1.73)</f>
        <v>1.73</v>
      </c>
      <c r="AN1070" s="27">
        <f>HYPERLINK("[P Only with New retention and Differentiation.xlsx]'Lake P Results'!AF166", 1.73)</f>
        <v>1.73</v>
      </c>
      <c r="AO1070" s="18"/>
      <c r="AP1070" s="18"/>
      <c r="AQ1070" s="26">
        <f>HYPERLINK("[P Only Old retention.xlsx]'Lake P Results'!AH166", 2400)</f>
        <v>2400</v>
      </c>
      <c r="AR1070" s="26">
        <f>HYPERLINK("[P Only New retention.xlsx]'Lake P Results'!AH166", 2400)</f>
        <v>2400</v>
      </c>
      <c r="AS1070" s="26">
        <f>HYPERLINK("[P Only with New retention and Differentiation.xlsx]'Lake P Results'!AH166", 2400)</f>
        <v>2400</v>
      </c>
      <c r="AT1070" s="18"/>
      <c r="AU1070" s="18"/>
      <c r="AV1070" s="27">
        <f>HYPERLINK("[P Only Old retention.xlsx]'Lake P Results'!M166", 1322.44505962521)</f>
        <v>1322.44505962521</v>
      </c>
      <c r="AW1070" s="27">
        <f>HYPERLINK("[P Only New retention.xlsx]'Lake P Results'!M166", 1327.45505962521)</f>
        <v>1327.45505962521</v>
      </c>
      <c r="AX1070" s="27">
        <f>HYPERLINK("[P Only with New retention and Differentiation.xlsx]'Lake P Results'!M166", 1327.45505962521)</f>
        <v>1327.45505962521</v>
      </c>
      <c r="AY1070" s="46">
        <f>AW1070-AV1070</f>
        <v>5.0099999999999909</v>
      </c>
      <c r="AZ1070" s="46">
        <f>AX1070-AV1070</f>
        <v>5.0099999999999909</v>
      </c>
      <c r="BA1070" s="27">
        <f>HYPERLINK("[P Only Old retention.xlsx]'Lake P Results'!O166", 288.722)</f>
        <v>288.72199999999998</v>
      </c>
      <c r="BB1070" s="27">
        <f>HYPERLINK("[P Only New retention.xlsx]'Lake P Results'!O166", 285.652)</f>
        <v>285.65199999999999</v>
      </c>
      <c r="BC1070" s="27">
        <f>HYPERLINK("[P Only with New retention and Differentiation.xlsx]'Lake P Results'!O166", 285.652)</f>
        <v>285.65199999999999</v>
      </c>
      <c r="BD1070" s="47">
        <f>BB1070-BA1070</f>
        <v>-3.0699999999999932</v>
      </c>
      <c r="BE1070" s="47">
        <f>BC1070-BA1070</f>
        <v>-3.0699999999999932</v>
      </c>
      <c r="BF1070" s="18"/>
      <c r="BG1070" s="18"/>
      <c r="BH1070" s="18"/>
      <c r="BI1070" s="18"/>
      <c r="BJ1070" s="18"/>
      <c r="BK1070" s="18"/>
      <c r="BL1070" s="18"/>
      <c r="BM1070" s="18"/>
      <c r="BN1070" s="18"/>
      <c r="BO1070" s="18"/>
    </row>
    <row r="1071" spans="1:67" x14ac:dyDescent="0.55000000000000004">
      <c r="A1071" s="31">
        <v>474</v>
      </c>
      <c r="B1071" s="5" t="s">
        <v>480</v>
      </c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</row>
    <row r="1072" spans="1:67" x14ac:dyDescent="0.55000000000000004">
      <c r="A1072" s="30">
        <v>475</v>
      </c>
      <c r="B1072" s="6" t="s">
        <v>481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/>
      <c r="AP1072" s="18"/>
      <c r="AQ1072" s="18"/>
      <c r="AR1072" s="18"/>
      <c r="AS1072" s="18"/>
      <c r="AT1072" s="18"/>
      <c r="AU1072" s="18"/>
      <c r="AV1072" s="18"/>
      <c r="AW1072" s="18"/>
      <c r="AX1072" s="18"/>
      <c r="AY1072" s="18"/>
      <c r="AZ1072" s="18"/>
      <c r="BA1072" s="18"/>
      <c r="BB1072" s="18"/>
      <c r="BC1072" s="18"/>
      <c r="BD1072" s="18"/>
      <c r="BE1072" s="18"/>
      <c r="BF1072" s="18"/>
      <c r="BG1072" s="18"/>
      <c r="BH1072" s="18"/>
      <c r="BI1072" s="18"/>
      <c r="BJ1072" s="18"/>
      <c r="BK1072" s="18"/>
      <c r="BL1072" s="18"/>
      <c r="BM1072" s="18"/>
      <c r="BN1072" s="18"/>
      <c r="BO1072" s="18"/>
    </row>
    <row r="1073" spans="1:67" x14ac:dyDescent="0.55000000000000004">
      <c r="A1073" s="31">
        <v>477</v>
      </c>
      <c r="B1073" s="5" t="s">
        <v>482</v>
      </c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  <c r="BO1073" s="13"/>
    </row>
    <row r="1074" spans="1:67" x14ac:dyDescent="0.55000000000000004">
      <c r="A1074" s="30">
        <v>478</v>
      </c>
      <c r="B1074" s="6" t="s">
        <v>483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/>
      <c r="AP1074" s="18"/>
      <c r="AQ1074" s="18"/>
      <c r="AR1074" s="18"/>
      <c r="AS1074" s="18"/>
      <c r="AT1074" s="18"/>
      <c r="AU1074" s="18"/>
      <c r="AV1074" s="18"/>
      <c r="AW1074" s="18"/>
      <c r="AX1074" s="18"/>
      <c r="AY1074" s="18"/>
      <c r="AZ1074" s="18"/>
      <c r="BA1074" s="18"/>
      <c r="BB1074" s="18"/>
      <c r="BC1074" s="18"/>
      <c r="BD1074" s="18"/>
      <c r="BE1074" s="18"/>
      <c r="BF1074" s="18"/>
      <c r="BG1074" s="18"/>
      <c r="BH1074" s="18"/>
      <c r="BI1074" s="18"/>
      <c r="BJ1074" s="18"/>
      <c r="BK1074" s="18"/>
      <c r="BL1074" s="18"/>
      <c r="BM1074" s="18"/>
      <c r="BN1074" s="18"/>
      <c r="BO1074" s="18"/>
    </row>
    <row r="1075" spans="1:67" x14ac:dyDescent="0.55000000000000004">
      <c r="A1075" s="31">
        <v>480</v>
      </c>
      <c r="B1075" s="5" t="s">
        <v>484</v>
      </c>
      <c r="C1075" s="13"/>
      <c r="D1075" s="13"/>
      <c r="E1075" s="13"/>
      <c r="F1075" s="13"/>
      <c r="G1075" s="13"/>
      <c r="H1075" s="28">
        <f>HYPERLINK("[P Only Old retention.xlsx]'Lake P Results'!AM171", 1100)</f>
        <v>1100</v>
      </c>
      <c r="I1075" s="28">
        <f>HYPERLINK("[P Only New retention.xlsx]'Lake P Results'!AM171", 1100)</f>
        <v>1100</v>
      </c>
      <c r="J1075" s="28">
        <f>HYPERLINK("[P Only with New retention and Differentiation.xlsx]'Lake P Results'!AM171", 1100)</f>
        <v>1100</v>
      </c>
      <c r="K1075" s="13"/>
      <c r="L1075" s="13"/>
      <c r="M1075" s="13"/>
      <c r="N1075" s="29">
        <f>HYPERLINK("[P Only New retention.xlsx]'Lake P Results'!AC171", 0.41)</f>
        <v>0.41</v>
      </c>
      <c r="O1075" s="29">
        <f>HYPERLINK("[P Only with New retention and Differentiation.xlsx]'Lake P Results'!AC171", 0.41)</f>
        <v>0.41</v>
      </c>
      <c r="P1075" s="46">
        <f>N1075-M1075</f>
        <v>0.41</v>
      </c>
      <c r="Q1075" s="46">
        <f>O1075-M1075</f>
        <v>0.41</v>
      </c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29">
        <f>HYPERLINK("[P Only Old retention.xlsx]'Lake P Results'!Z171", 0.41)</f>
        <v>0.41</v>
      </c>
      <c r="AC1075" s="13"/>
      <c r="AD1075" s="13"/>
      <c r="AE1075" s="47">
        <f>AC1075-AB1075</f>
        <v>-0.41</v>
      </c>
      <c r="AF1075" s="47">
        <f>AD1075-AB1075</f>
        <v>-0.41</v>
      </c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28">
        <f>HYPERLINK("[P Only Old retention.xlsx]'Lake P Results'!AH171", 180)</f>
        <v>180</v>
      </c>
      <c r="AR1075" s="28">
        <f>HYPERLINK("[P Only New retention.xlsx]'Lake P Results'!AH171", 180)</f>
        <v>180</v>
      </c>
      <c r="AS1075" s="28">
        <f>HYPERLINK("[P Only with New retention and Differentiation.xlsx]'Lake P Results'!AH171", 180)</f>
        <v>180</v>
      </c>
      <c r="AT1075" s="13"/>
      <c r="AU1075" s="13"/>
      <c r="AV1075" s="29">
        <f>HYPERLINK("[P Only Old retention.xlsx]'Lake P Results'!M171", 117.03)</f>
        <v>117.03</v>
      </c>
      <c r="AW1075" s="29">
        <f>HYPERLINK("[P Only New retention.xlsx]'Lake P Results'!M171", 117.03)</f>
        <v>117.03</v>
      </c>
      <c r="AX1075" s="29">
        <f>HYPERLINK("[P Only with New retention and Differentiation.xlsx]'Lake P Results'!M171", 117.03)</f>
        <v>117.03</v>
      </c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  <c r="BO1075" s="13"/>
    </row>
    <row r="1076" spans="1:67" x14ac:dyDescent="0.55000000000000004">
      <c r="A1076" s="30">
        <v>482</v>
      </c>
      <c r="B1076" s="6" t="s">
        <v>485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  <c r="AV1076" s="18"/>
      <c r="AW1076" s="18"/>
      <c r="AX1076" s="18"/>
      <c r="AY1076" s="18"/>
      <c r="AZ1076" s="18"/>
      <c r="BA1076" s="18"/>
      <c r="BB1076" s="18"/>
      <c r="BC1076" s="18"/>
      <c r="BD1076" s="18"/>
      <c r="BE1076" s="18"/>
      <c r="BF1076" s="18"/>
      <c r="BG1076" s="18"/>
      <c r="BH1076" s="18"/>
      <c r="BI1076" s="18"/>
      <c r="BJ1076" s="18"/>
      <c r="BK1076" s="18"/>
      <c r="BL1076" s="18"/>
      <c r="BM1076" s="18"/>
      <c r="BN1076" s="18"/>
      <c r="BO1076" s="18"/>
    </row>
    <row r="1077" spans="1:67" x14ac:dyDescent="0.55000000000000004">
      <c r="A1077" s="31">
        <v>483</v>
      </c>
      <c r="B1077" s="5" t="s">
        <v>486</v>
      </c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  <c r="BO1077" s="13"/>
    </row>
    <row r="1078" spans="1:67" x14ac:dyDescent="0.55000000000000004">
      <c r="A1078" s="30">
        <v>486</v>
      </c>
      <c r="B1078" s="6" t="s">
        <v>487</v>
      </c>
      <c r="C1078" s="18"/>
      <c r="D1078" s="18"/>
      <c r="E1078" s="18"/>
      <c r="F1078" s="18"/>
      <c r="G1078" s="18"/>
      <c r="H1078" s="26">
        <f>HYPERLINK("[P Only Old retention.xlsx]'Lake P Results'!AM174", 200)</f>
        <v>200</v>
      </c>
      <c r="I1078" s="26">
        <f>HYPERLINK("[P Only New retention.xlsx]'Lake P Results'!AM174", 200)</f>
        <v>200</v>
      </c>
      <c r="J1078" s="26">
        <f>HYPERLINK("[P Only with New retention and Differentiation.xlsx]'Lake P Results'!AM174", 200)</f>
        <v>200</v>
      </c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27">
        <f>HYPERLINK("[P Only Old retention.xlsx]'Lake P Results'!AA174", 31.08)</f>
        <v>31.08</v>
      </c>
      <c r="AH1078" s="27">
        <f>HYPERLINK("[P Only New retention.xlsx]'Lake P Results'!AA174", 31.08)</f>
        <v>31.08</v>
      </c>
      <c r="AI1078" s="27">
        <f>HYPERLINK("[P Only with New retention and Differentiation.xlsx]'Lake P Results'!AA174", 31.08)</f>
        <v>31.08</v>
      </c>
      <c r="AJ1078" s="18"/>
      <c r="AK1078" s="18"/>
      <c r="AL1078" s="18"/>
      <c r="AM1078" s="18"/>
      <c r="AN1078" s="18"/>
      <c r="AO1078" s="18"/>
      <c r="AP1078" s="18"/>
      <c r="AQ1078" s="18"/>
      <c r="AR1078" s="18"/>
      <c r="AS1078" s="18"/>
      <c r="AT1078" s="18"/>
      <c r="AU1078" s="18"/>
      <c r="AV1078" s="18"/>
      <c r="AW1078" s="18"/>
      <c r="AX1078" s="18"/>
      <c r="AY1078" s="18"/>
      <c r="AZ1078" s="18"/>
      <c r="BA1078" s="18"/>
      <c r="BB1078" s="18"/>
      <c r="BC1078" s="18"/>
      <c r="BD1078" s="18"/>
      <c r="BE1078" s="18"/>
      <c r="BF1078" s="18"/>
      <c r="BG1078" s="18"/>
      <c r="BH1078" s="18"/>
      <c r="BI1078" s="18"/>
      <c r="BJ1078" s="18"/>
      <c r="BK1078" s="18"/>
      <c r="BL1078" s="18"/>
      <c r="BM1078" s="18"/>
      <c r="BN1078" s="18"/>
      <c r="BO1078" s="18"/>
    </row>
    <row r="1079" spans="1:67" x14ac:dyDescent="0.55000000000000004">
      <c r="A1079" s="31">
        <v>487</v>
      </c>
      <c r="B1079" s="5" t="s">
        <v>488</v>
      </c>
      <c r="C1079" s="13"/>
      <c r="D1079" s="13"/>
      <c r="E1079" s="13"/>
      <c r="F1079" s="13"/>
      <c r="G1079" s="13"/>
      <c r="H1079" s="28">
        <f>HYPERLINK("[P Only Old retention.xlsx]'Lake P Results'!AM175", 900)</f>
        <v>900</v>
      </c>
      <c r="I1079" s="28">
        <f>HYPERLINK("[P Only New retention.xlsx]'Lake P Results'!AM175", 900)</f>
        <v>900</v>
      </c>
      <c r="J1079" s="28">
        <f>HYPERLINK("[P Only with New retention and Differentiation.xlsx]'Lake P Results'!AM175", 900)</f>
        <v>900</v>
      </c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29">
        <f>HYPERLINK("[P Only Old retention.xlsx]'Lake P Results'!AA175", 2.92)</f>
        <v>2.92</v>
      </c>
      <c r="AH1079" s="29">
        <f>HYPERLINK("[P Only New retention.xlsx]'Lake P Results'!AA175", 2.92)</f>
        <v>2.92</v>
      </c>
      <c r="AI1079" s="29">
        <f>HYPERLINK("[P Only with New retention and Differentiation.xlsx]'Lake P Results'!AA175", 2.92)</f>
        <v>2.92</v>
      </c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  <c r="BO1079" s="13"/>
    </row>
    <row r="1080" spans="1:67" x14ac:dyDescent="0.55000000000000004">
      <c r="A1080" s="30">
        <v>488</v>
      </c>
      <c r="B1080" s="6" t="s">
        <v>489</v>
      </c>
      <c r="C1080" s="18"/>
      <c r="D1080" s="18"/>
      <c r="E1080" s="18"/>
      <c r="F1080" s="18"/>
      <c r="G1080" s="18"/>
      <c r="H1080" s="26">
        <f>HYPERLINK("[P Only Old retention.xlsx]'Lake P Results'!AM176", 1600)</f>
        <v>1600</v>
      </c>
      <c r="I1080" s="26">
        <f>HYPERLINK("[P Only New retention.xlsx]'Lake P Results'!AM176", 1600)</f>
        <v>1600</v>
      </c>
      <c r="J1080" s="26">
        <f>HYPERLINK("[P Only with New retention and Differentiation.xlsx]'Lake P Results'!AM176", 1600)</f>
        <v>1600</v>
      </c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18"/>
      <c r="AQ1080" s="18"/>
      <c r="AR1080" s="18"/>
      <c r="AS1080" s="18"/>
      <c r="AT1080" s="18"/>
      <c r="AU1080" s="18"/>
      <c r="AV1080" s="18"/>
      <c r="AW1080" s="18"/>
      <c r="AX1080" s="18"/>
      <c r="AY1080" s="18"/>
      <c r="AZ1080" s="18"/>
      <c r="BA1080" s="18"/>
      <c r="BB1080" s="18"/>
      <c r="BC1080" s="18"/>
      <c r="BD1080" s="18"/>
      <c r="BE1080" s="18"/>
      <c r="BF1080" s="18"/>
      <c r="BG1080" s="18"/>
      <c r="BH1080" s="18"/>
      <c r="BI1080" s="18"/>
      <c r="BJ1080" s="18"/>
      <c r="BK1080" s="18"/>
      <c r="BL1080" s="18"/>
      <c r="BM1080" s="18"/>
      <c r="BN1080" s="18"/>
      <c r="BO1080" s="18"/>
    </row>
    <row r="1081" spans="1:67" x14ac:dyDescent="0.55000000000000004">
      <c r="A1081" s="31">
        <v>489</v>
      </c>
      <c r="B1081" s="5" t="s">
        <v>490</v>
      </c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  <c r="AW1081" s="13"/>
      <c r="AX1081" s="13"/>
      <c r="AY1081" s="13"/>
      <c r="AZ1081" s="13"/>
      <c r="BA1081" s="13"/>
      <c r="BB1081" s="13"/>
      <c r="BC1081" s="13"/>
      <c r="BD1081" s="13"/>
      <c r="BE1081" s="13"/>
      <c r="BF1081" s="13"/>
      <c r="BG1081" s="13"/>
      <c r="BH1081" s="13"/>
      <c r="BI1081" s="13"/>
      <c r="BJ1081" s="13"/>
      <c r="BK1081" s="13"/>
      <c r="BL1081" s="13"/>
      <c r="BM1081" s="13"/>
      <c r="BN1081" s="13"/>
      <c r="BO1081" s="13"/>
    </row>
    <row r="1082" spans="1:67" x14ac:dyDescent="0.55000000000000004">
      <c r="A1082" s="30">
        <v>490</v>
      </c>
      <c r="B1082" s="6" t="s">
        <v>491</v>
      </c>
      <c r="C1082" s="27">
        <f>HYPERLINK("[P Only Old retention.xlsx]'Lake P Results'!AE178", 0.518)</f>
        <v>0.51800000000000002</v>
      </c>
      <c r="D1082" s="27">
        <f>HYPERLINK("[P Only New retention.xlsx]'Lake P Results'!AE178", 0.518)</f>
        <v>0.51800000000000002</v>
      </c>
      <c r="E1082" s="27">
        <f>HYPERLINK("[P Only with New retention and Differentiation.xlsx]'Lake P Results'!AE178", 0.518)</f>
        <v>0.51800000000000002</v>
      </c>
      <c r="F1082" s="18"/>
      <c r="G1082" s="18"/>
      <c r="H1082" s="26">
        <f>HYPERLINK("[P Only Old retention.xlsx]'Lake P Results'!AM178", 14700)</f>
        <v>14700</v>
      </c>
      <c r="I1082" s="26">
        <f>HYPERLINK("[P Only New retention.xlsx]'Lake P Results'!AM178", 14700)</f>
        <v>14700</v>
      </c>
      <c r="J1082" s="26">
        <f>HYPERLINK("[P Only with New retention and Differentiation.xlsx]'Lake P Results'!AM178", 14700)</f>
        <v>14700</v>
      </c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27">
        <f>HYPERLINK("[P Only Old retention.xlsx]'Lake P Results'!V178", 1.61)</f>
        <v>1.61</v>
      </c>
      <c r="X1082" s="27">
        <f>HYPERLINK("[P Only New retention.xlsx]'Lake P Results'!V178", 1.61)</f>
        <v>1.61</v>
      </c>
      <c r="Y1082" s="27">
        <f>HYPERLINK("[P Only with New retention and Differentiation.xlsx]'Lake P Results'!V178", 1.61)</f>
        <v>1.61</v>
      </c>
      <c r="Z1082" s="18"/>
      <c r="AA1082" s="18"/>
      <c r="AB1082" s="27">
        <f>HYPERLINK("[P Only Old retention.xlsx]'Lake P Results'!Z178", 4.912)</f>
        <v>4.9119999999999999</v>
      </c>
      <c r="AC1082" s="27">
        <f>HYPERLINK("[P Only New retention.xlsx]'Lake P Results'!Z178", 4.912)</f>
        <v>4.9119999999999999</v>
      </c>
      <c r="AD1082" s="27">
        <f>HYPERLINK("[P Only with New retention and Differentiation.xlsx]'Lake P Results'!Z178", 4.912)</f>
        <v>4.9119999999999999</v>
      </c>
      <c r="AE1082" s="18"/>
      <c r="AF1082" s="18"/>
      <c r="AG1082" s="27">
        <f>HYPERLINK("[P Only Old retention.xlsx]'Lake P Results'!AA178", 11.134)</f>
        <v>11.134</v>
      </c>
      <c r="AH1082" s="27">
        <f>HYPERLINK("[P Only New retention.xlsx]'Lake P Results'!AA178", 11.134)</f>
        <v>11.134</v>
      </c>
      <c r="AI1082" s="27">
        <f>HYPERLINK("[P Only with New retention and Differentiation.xlsx]'Lake P Results'!AA178", 11.134)</f>
        <v>11.134</v>
      </c>
      <c r="AJ1082" s="18"/>
      <c r="AK1082" s="18"/>
      <c r="AL1082" s="18"/>
      <c r="AM1082" s="18"/>
      <c r="AN1082" s="18"/>
      <c r="AO1082" s="18"/>
      <c r="AP1082" s="18"/>
      <c r="AQ1082" s="26">
        <f>HYPERLINK("[P Only Old retention.xlsx]'Lake P Results'!AH178", 60)</f>
        <v>60</v>
      </c>
      <c r="AR1082" s="26">
        <f>HYPERLINK("[P Only New retention.xlsx]'Lake P Results'!AH178", 60)</f>
        <v>60</v>
      </c>
      <c r="AS1082" s="26">
        <f>HYPERLINK("[P Only with New retention and Differentiation.xlsx]'Lake P Results'!AH178", 60)</f>
        <v>60</v>
      </c>
      <c r="AT1082" s="18"/>
      <c r="AU1082" s="18"/>
      <c r="AV1082" s="27">
        <f>HYPERLINK("[P Only Old retention.xlsx]'Lake P Results'!M178", 211.03)</f>
        <v>211.03</v>
      </c>
      <c r="AW1082" s="27">
        <f>HYPERLINK("[P Only New retention.xlsx]'Lake P Results'!M178", 211.03)</f>
        <v>211.03</v>
      </c>
      <c r="AX1082" s="27">
        <f>HYPERLINK("[P Only with New retention and Differentiation.xlsx]'Lake P Results'!M178", 211.03)</f>
        <v>211.03</v>
      </c>
      <c r="AY1082" s="18"/>
      <c r="AZ1082" s="18"/>
      <c r="BA1082" s="27">
        <f>HYPERLINK("[P Only Old retention.xlsx]'Lake P Results'!O178", 22.582)</f>
        <v>22.582000000000001</v>
      </c>
      <c r="BB1082" s="27">
        <f>HYPERLINK("[P Only New retention.xlsx]'Lake P Results'!O178", 22.582)</f>
        <v>22.582000000000001</v>
      </c>
      <c r="BC1082" s="27">
        <f>HYPERLINK("[P Only with New retention and Differentiation.xlsx]'Lake P Results'!O178", 22.582)</f>
        <v>22.582000000000001</v>
      </c>
      <c r="BD1082" s="18"/>
      <c r="BE1082" s="18"/>
      <c r="BF1082" s="18"/>
      <c r="BG1082" s="18"/>
      <c r="BH1082" s="18"/>
      <c r="BI1082" s="18"/>
      <c r="BJ1082" s="18"/>
      <c r="BK1082" s="18"/>
      <c r="BL1082" s="18"/>
      <c r="BM1082" s="18"/>
      <c r="BN1082" s="18"/>
      <c r="BO1082" s="18"/>
    </row>
    <row r="1083" spans="1:67" x14ac:dyDescent="0.55000000000000004">
      <c r="A1083" s="31">
        <v>491</v>
      </c>
      <c r="B1083" s="5" t="s">
        <v>492</v>
      </c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  <c r="AW1083" s="13"/>
      <c r="AX1083" s="13"/>
      <c r="AY1083" s="13"/>
      <c r="AZ1083" s="13"/>
      <c r="BA1083" s="13"/>
      <c r="BB1083" s="13"/>
      <c r="BC1083" s="13"/>
      <c r="BD1083" s="13"/>
      <c r="BE1083" s="13"/>
      <c r="BF1083" s="13"/>
      <c r="BG1083" s="13"/>
      <c r="BH1083" s="13"/>
      <c r="BI1083" s="13"/>
      <c r="BJ1083" s="13"/>
      <c r="BK1083" s="13"/>
      <c r="BL1083" s="13"/>
      <c r="BM1083" s="13"/>
      <c r="BN1083" s="13"/>
      <c r="BO1083" s="13"/>
    </row>
    <row r="1084" spans="1:67" x14ac:dyDescent="0.55000000000000004">
      <c r="A1084" s="30">
        <v>495</v>
      </c>
      <c r="B1084" s="6" t="s">
        <v>493</v>
      </c>
      <c r="C1084" s="27">
        <f>HYPERLINK("[P Only Old retention.xlsx]'Lake P Results'!AE180", 0.7)</f>
        <v>0.7</v>
      </c>
      <c r="D1084" s="27">
        <f>HYPERLINK("[P Only New retention.xlsx]'Lake P Results'!AE180", 0.7)</f>
        <v>0.7</v>
      </c>
      <c r="E1084" s="27">
        <f>HYPERLINK("[P Only with New retention and Differentiation.xlsx]'Lake P Results'!AE180", 0.7)</f>
        <v>0.7</v>
      </c>
      <c r="F1084" s="18"/>
      <c r="G1084" s="18"/>
      <c r="H1084" s="26">
        <f>HYPERLINK("[P Only Old retention.xlsx]'Lake P Results'!AM180", 7500)</f>
        <v>7500</v>
      </c>
      <c r="I1084" s="26">
        <f>HYPERLINK("[P Only New retention.xlsx]'Lake P Results'!AM180", 7500)</f>
        <v>7500</v>
      </c>
      <c r="J1084" s="26">
        <f>HYPERLINK("[P Only with New retention and Differentiation.xlsx]'Lake P Results'!AM180", 7500)</f>
        <v>7500</v>
      </c>
      <c r="K1084" s="18"/>
      <c r="L1084" s="18"/>
      <c r="M1084" s="27">
        <f>HYPERLINK("[P Only Old retention.xlsx]'Lake P Results'!AC180", 42.198)</f>
        <v>42.198</v>
      </c>
      <c r="N1084" s="27">
        <f>HYPERLINK("[P Only New retention.xlsx]'Lake P Results'!AC180", 43.166)</f>
        <v>43.165999999999997</v>
      </c>
      <c r="O1084" s="27">
        <f>HYPERLINK("[P Only with New retention and Differentiation.xlsx]'Lake P Results'!AC180", 43.166)</f>
        <v>43.165999999999997</v>
      </c>
      <c r="P1084" s="46">
        <f>N1084-M1084</f>
        <v>0.96799999999999642</v>
      </c>
      <c r="Q1084" s="46">
        <f>O1084-M1084</f>
        <v>0.96799999999999642</v>
      </c>
      <c r="R1084" s="18"/>
      <c r="S1084" s="27">
        <f>HYPERLINK("[P Only New retention.xlsx]'Lake P Results'!Y180", 0.812)</f>
        <v>0.81200000000000006</v>
      </c>
      <c r="T1084" s="27">
        <f>HYPERLINK("[P Only with New retention and Differentiation.xlsx]'Lake P Results'!Y180", 0.812)</f>
        <v>0.81200000000000006</v>
      </c>
      <c r="U1084" s="46">
        <f>S1084-R1084</f>
        <v>0.81200000000000006</v>
      </c>
      <c r="V1084" s="46">
        <f>T1084-R1084</f>
        <v>0.81200000000000006</v>
      </c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27">
        <f>HYPERLINK("[P Only Old retention.xlsx]'Lake P Results'!AA180", 46.204)</f>
        <v>46.204000000000001</v>
      </c>
      <c r="AH1084" s="27">
        <f>HYPERLINK("[P Only New retention.xlsx]'Lake P Results'!AA180", 46.204)</f>
        <v>46.204000000000001</v>
      </c>
      <c r="AI1084" s="27">
        <f>HYPERLINK("[P Only with New retention and Differentiation.xlsx]'Lake P Results'!AA180", 46.204)</f>
        <v>46.204000000000001</v>
      </c>
      <c r="AJ1084" s="18"/>
      <c r="AK1084" s="18"/>
      <c r="AL1084" s="18"/>
      <c r="AM1084" s="18"/>
      <c r="AN1084" s="18"/>
      <c r="AO1084" s="18"/>
      <c r="AP1084" s="18"/>
      <c r="AQ1084" s="18"/>
      <c r="AR1084" s="18"/>
      <c r="AS1084" s="18"/>
      <c r="AT1084" s="18"/>
      <c r="AU1084" s="18"/>
      <c r="AV1084" s="18"/>
      <c r="AW1084" s="18"/>
      <c r="AX1084" s="18"/>
      <c r="AY1084" s="18"/>
      <c r="AZ1084" s="18"/>
      <c r="BA1084" s="27">
        <f>HYPERLINK("[P Only Old retention.xlsx]'Lake P Results'!O180", 6.23)</f>
        <v>6.23</v>
      </c>
      <c r="BB1084" s="27">
        <f>HYPERLINK("[P Only New retention.xlsx]'Lake P Results'!O180", 6.23)</f>
        <v>6.23</v>
      </c>
      <c r="BC1084" s="27">
        <f>HYPERLINK("[P Only with New retention and Differentiation.xlsx]'Lake P Results'!O180", 6.23)</f>
        <v>6.23</v>
      </c>
      <c r="BD1084" s="18"/>
      <c r="BE1084" s="18"/>
      <c r="BF1084" s="18"/>
      <c r="BG1084" s="18"/>
      <c r="BH1084" s="18"/>
      <c r="BI1084" s="18"/>
      <c r="BJ1084" s="18"/>
      <c r="BK1084" s="18"/>
      <c r="BL1084" s="18"/>
      <c r="BM1084" s="18"/>
      <c r="BN1084" s="18"/>
      <c r="BO1084" s="18"/>
    </row>
    <row r="1085" spans="1:67" x14ac:dyDescent="0.55000000000000004">
      <c r="A1085" s="31">
        <v>496</v>
      </c>
      <c r="B1085" s="5" t="s">
        <v>494</v>
      </c>
      <c r="C1085" s="29">
        <f>HYPERLINK("[P Only Old retention.xlsx]'Lake P Results'!AE181", 9.13)</f>
        <v>9.1300000000000008</v>
      </c>
      <c r="D1085" s="29">
        <f>HYPERLINK("[P Only New retention.xlsx]'Lake P Results'!AE181", 9.19)</f>
        <v>9.19</v>
      </c>
      <c r="E1085" s="29">
        <f>HYPERLINK("[P Only with New retention and Differentiation.xlsx]'Lake P Results'!AE181", 9.19)</f>
        <v>9.19</v>
      </c>
      <c r="F1085" s="46">
        <f>D1085-C1085</f>
        <v>5.9999999999998721E-2</v>
      </c>
      <c r="G1085" s="46">
        <f>E1085-C1085</f>
        <v>5.9999999999998721E-2</v>
      </c>
      <c r="H1085" s="28">
        <f>HYPERLINK("[P Only Old retention.xlsx]'Lake P Results'!AM181", 3900)</f>
        <v>3900</v>
      </c>
      <c r="I1085" s="28">
        <f>HYPERLINK("[P Only New retention.xlsx]'Lake P Results'!AM181", 3700)</f>
        <v>3700</v>
      </c>
      <c r="J1085" s="28">
        <f>HYPERLINK("[P Only with New retention and Differentiation.xlsx]'Lake P Results'!AM181", 3700)</f>
        <v>3700</v>
      </c>
      <c r="K1085" s="21">
        <f>I1085-H1085</f>
        <v>-200</v>
      </c>
      <c r="L1085" s="21">
        <f>J1085-H1085</f>
        <v>-200</v>
      </c>
      <c r="M1085" s="29">
        <f>HYPERLINK("[P Only Old retention.xlsx]'Lake P Results'!AC181", 1.29)</f>
        <v>1.29</v>
      </c>
      <c r="N1085" s="13"/>
      <c r="O1085" s="13"/>
      <c r="P1085" s="47">
        <f>N1085-M1085</f>
        <v>-1.29</v>
      </c>
      <c r="Q1085" s="47">
        <f>O1085-M1085</f>
        <v>-1.29</v>
      </c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29">
        <f>HYPERLINK("[P Only Old retention.xlsx]'Lake P Results'!Z181", 0.48)</f>
        <v>0.48</v>
      </c>
      <c r="AC1085" s="13"/>
      <c r="AD1085" s="13"/>
      <c r="AE1085" s="47">
        <f>AC1085-AB1085</f>
        <v>-0.48</v>
      </c>
      <c r="AF1085" s="47">
        <f>AD1085-AB1085</f>
        <v>-0.48</v>
      </c>
      <c r="AG1085" s="29">
        <f>HYPERLINK("[P Only Old retention.xlsx]'Lake P Results'!AA181", 12.15)</f>
        <v>12.15</v>
      </c>
      <c r="AH1085" s="29">
        <f>HYPERLINK("[P Only New retention.xlsx]'Lake P Results'!AA181", 12.15)</f>
        <v>12.15</v>
      </c>
      <c r="AI1085" s="29">
        <f>HYPERLINK("[P Only with New retention and Differentiation.xlsx]'Lake P Results'!AA181", 12.15)</f>
        <v>12.15</v>
      </c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  <c r="AW1085" s="13"/>
      <c r="AX1085" s="13"/>
      <c r="AY1085" s="13"/>
      <c r="AZ1085" s="13"/>
      <c r="BA1085" s="13"/>
      <c r="BB1085" s="13"/>
      <c r="BC1085" s="13"/>
      <c r="BD1085" s="13"/>
      <c r="BE1085" s="13"/>
      <c r="BF1085" s="13"/>
      <c r="BG1085" s="13"/>
      <c r="BH1085" s="13"/>
      <c r="BI1085" s="13"/>
      <c r="BJ1085" s="13"/>
      <c r="BK1085" s="13"/>
      <c r="BL1085" s="13"/>
      <c r="BM1085" s="13"/>
      <c r="BN1085" s="13"/>
      <c r="BO1085" s="13"/>
    </row>
    <row r="1086" spans="1:67" x14ac:dyDescent="0.55000000000000004">
      <c r="A1086" s="30">
        <v>497</v>
      </c>
      <c r="B1086" s="6" t="s">
        <v>495</v>
      </c>
      <c r="C1086" s="18"/>
      <c r="D1086" s="18"/>
      <c r="E1086" s="18"/>
      <c r="F1086" s="18"/>
      <c r="G1086" s="18"/>
      <c r="H1086" s="26">
        <f>HYPERLINK("[P Only Old retention.xlsx]'Lake P Results'!AM182", 100)</f>
        <v>100</v>
      </c>
      <c r="I1086" s="26">
        <f>HYPERLINK("[P Only New retention.xlsx]'Lake P Results'!AM182", 100)</f>
        <v>100</v>
      </c>
      <c r="J1086" s="26">
        <f>HYPERLINK("[P Only with New retention and Differentiation.xlsx]'Lake P Results'!AM182", 100)</f>
        <v>100</v>
      </c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  <c r="AO1086" s="18"/>
      <c r="AP1086" s="18"/>
      <c r="AQ1086" s="18"/>
      <c r="AR1086" s="18"/>
      <c r="AS1086" s="18"/>
      <c r="AT1086" s="18"/>
      <c r="AU1086" s="18"/>
      <c r="AV1086" s="18"/>
      <c r="AW1086" s="18"/>
      <c r="AX1086" s="18"/>
      <c r="AY1086" s="18"/>
      <c r="AZ1086" s="18"/>
      <c r="BA1086" s="18"/>
      <c r="BB1086" s="18"/>
      <c r="BC1086" s="18"/>
      <c r="BD1086" s="18"/>
      <c r="BE1086" s="18"/>
      <c r="BF1086" s="18"/>
      <c r="BG1086" s="18"/>
      <c r="BH1086" s="18"/>
      <c r="BI1086" s="18"/>
      <c r="BJ1086" s="18"/>
      <c r="BK1086" s="18"/>
      <c r="BL1086" s="18"/>
      <c r="BM1086" s="18"/>
      <c r="BN1086" s="18"/>
      <c r="BO1086" s="18"/>
    </row>
    <row r="1087" spans="1:67" x14ac:dyDescent="0.55000000000000004">
      <c r="A1087" s="31">
        <v>498</v>
      </c>
      <c r="B1087" s="5" t="s">
        <v>496</v>
      </c>
      <c r="C1087" s="13"/>
      <c r="D1087" s="13"/>
      <c r="E1087" s="13"/>
      <c r="F1087" s="13"/>
      <c r="G1087" s="13"/>
      <c r="H1087" s="28">
        <f>HYPERLINK("[P Only Old retention.xlsx]'Lake P Results'!AM183", 400)</f>
        <v>400</v>
      </c>
      <c r="I1087" s="28">
        <f>HYPERLINK("[P Only New retention.xlsx]'Lake P Results'!AM183", 400)</f>
        <v>400</v>
      </c>
      <c r="J1087" s="28">
        <f>HYPERLINK("[P Only with New retention and Differentiation.xlsx]'Lake P Results'!AM183", 400)</f>
        <v>400</v>
      </c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  <c r="AW1087" s="13"/>
      <c r="AX1087" s="13"/>
      <c r="AY1087" s="13"/>
      <c r="AZ1087" s="13"/>
      <c r="BA1087" s="13"/>
      <c r="BB1087" s="13"/>
      <c r="BC1087" s="13"/>
      <c r="BD1087" s="13"/>
      <c r="BE1087" s="13"/>
      <c r="BF1087" s="13"/>
      <c r="BG1087" s="13"/>
      <c r="BH1087" s="13"/>
      <c r="BI1087" s="13"/>
      <c r="BJ1087" s="13"/>
      <c r="BK1087" s="13"/>
      <c r="BL1087" s="13"/>
      <c r="BM1087" s="13"/>
      <c r="BN1087" s="13"/>
      <c r="BO1087" s="13"/>
    </row>
    <row r="1088" spans="1:67" x14ac:dyDescent="0.55000000000000004">
      <c r="A1088" s="30">
        <v>499</v>
      </c>
      <c r="B1088" s="6" t="s">
        <v>497</v>
      </c>
      <c r="C1088" s="18"/>
      <c r="D1088" s="18"/>
      <c r="E1088" s="18"/>
      <c r="F1088" s="18"/>
      <c r="G1088" s="18"/>
      <c r="H1088" s="26">
        <f>HYPERLINK("[P Only Old retention.xlsx]'Lake P Results'!AM184", 200)</f>
        <v>200</v>
      </c>
      <c r="I1088" s="26">
        <f>HYPERLINK("[P Only New retention.xlsx]'Lake P Results'!AM184", 200)</f>
        <v>200</v>
      </c>
      <c r="J1088" s="26">
        <f>HYPERLINK("[P Only with New retention and Differentiation.xlsx]'Lake P Results'!AM184", 200)</f>
        <v>200</v>
      </c>
      <c r="K1088" s="18"/>
      <c r="L1088" s="18"/>
      <c r="M1088" s="27">
        <f>HYPERLINK("[P Only Old retention.xlsx]'Lake P Results'!AC184", 8.16)</f>
        <v>8.16</v>
      </c>
      <c r="N1088" s="27">
        <f>HYPERLINK("[P Only New retention.xlsx]'Lake P Results'!AC184", 0.82)</f>
        <v>0.82</v>
      </c>
      <c r="O1088" s="27">
        <f>HYPERLINK("[P Only with New retention and Differentiation.xlsx]'Lake P Results'!AC184", 3.96)</f>
        <v>3.96</v>
      </c>
      <c r="P1088" s="47">
        <f>N1088-M1088</f>
        <v>-7.34</v>
      </c>
      <c r="Q1088" s="47">
        <f>O1088-M1088</f>
        <v>-4.2</v>
      </c>
      <c r="R1088" s="27">
        <f>HYPERLINK("[P Only Old retention.xlsx]'Lake P Results'!Y184", 0.82)</f>
        <v>0.82</v>
      </c>
      <c r="S1088" s="27">
        <f>HYPERLINK("[P Only New retention.xlsx]'Lake P Results'!Y184", 8.16)</f>
        <v>8.16</v>
      </c>
      <c r="T1088" s="27">
        <f>HYPERLINK("[P Only with New retention and Differentiation.xlsx]'Lake P Results'!Y184", 4.2)</f>
        <v>4.2</v>
      </c>
      <c r="U1088" s="46">
        <f>S1088-R1088</f>
        <v>7.34</v>
      </c>
      <c r="V1088" s="46">
        <f>T1088-R1088</f>
        <v>3.3800000000000003</v>
      </c>
      <c r="W1088" s="18"/>
      <c r="X1088" s="18"/>
      <c r="Y1088" s="18"/>
      <c r="Z1088" s="18"/>
      <c r="AA1088" s="18"/>
      <c r="AB1088" s="18"/>
      <c r="AC1088" s="18"/>
      <c r="AD1088" s="27">
        <f>HYPERLINK("[P Only with New retention and Differentiation.xlsx]'Lake P Results'!Z184", 0.82)</f>
        <v>0.82</v>
      </c>
      <c r="AE1088" s="18"/>
      <c r="AF1088" s="46">
        <f>AD1088-AB1088</f>
        <v>0.82</v>
      </c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26">
        <f>HYPERLINK("[P Only Old retention.xlsx]'Lake P Results'!AH184", 20)</f>
        <v>20</v>
      </c>
      <c r="AR1088" s="26">
        <f>HYPERLINK("[P Only New retention.xlsx]'Lake P Results'!AH184", 20)</f>
        <v>20</v>
      </c>
      <c r="AS1088" s="26">
        <f>HYPERLINK("[P Only with New retention and Differentiation.xlsx]'Lake P Results'!AH184", 20)</f>
        <v>20</v>
      </c>
      <c r="AT1088" s="18"/>
      <c r="AU1088" s="18"/>
      <c r="AV1088" s="27">
        <f>HYPERLINK("[P Only Old retention.xlsx]'Lake P Results'!M184", 12.2)</f>
        <v>12.2</v>
      </c>
      <c r="AW1088" s="27">
        <f>HYPERLINK("[P Only New retention.xlsx]'Lake P Results'!M184", 12.2)</f>
        <v>12.2</v>
      </c>
      <c r="AX1088" s="27">
        <f>HYPERLINK("[P Only with New retention and Differentiation.xlsx]'Lake P Results'!M184", 12.2)</f>
        <v>12.2</v>
      </c>
      <c r="AY1088" s="18"/>
      <c r="AZ1088" s="18"/>
      <c r="BA1088" s="27">
        <f>HYPERLINK("[P Only Old retention.xlsx]'Lake P Results'!O184", 0.146)</f>
        <v>0.14599999999999999</v>
      </c>
      <c r="BB1088" s="27">
        <f>HYPERLINK("[P Only New retention.xlsx]'Lake P Results'!O184", 0.146)</f>
        <v>0.14599999999999999</v>
      </c>
      <c r="BC1088" s="27">
        <f>HYPERLINK("[P Only with New retention and Differentiation.xlsx]'Lake P Results'!O184", 0.146)</f>
        <v>0.14599999999999999</v>
      </c>
      <c r="BD1088" s="18"/>
      <c r="BE1088" s="18"/>
      <c r="BF1088" s="18"/>
      <c r="BG1088" s="18"/>
      <c r="BH1088" s="18"/>
      <c r="BI1088" s="18"/>
      <c r="BJ1088" s="18"/>
      <c r="BK1088" s="18"/>
      <c r="BL1088" s="18"/>
      <c r="BM1088" s="18"/>
      <c r="BN1088" s="18"/>
      <c r="BO1088" s="18"/>
    </row>
    <row r="1089" spans="1:67" x14ac:dyDescent="0.55000000000000004">
      <c r="A1089" s="31">
        <v>501</v>
      </c>
      <c r="B1089" s="5" t="s">
        <v>498</v>
      </c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  <c r="AW1089" s="13"/>
      <c r="AX1089" s="13"/>
      <c r="AY1089" s="13"/>
      <c r="AZ1089" s="13"/>
      <c r="BA1089" s="13"/>
      <c r="BB1089" s="13"/>
      <c r="BC1089" s="13"/>
      <c r="BD1089" s="13"/>
      <c r="BE1089" s="13"/>
      <c r="BF1089" s="13"/>
      <c r="BG1089" s="13"/>
      <c r="BH1089" s="13"/>
      <c r="BI1089" s="13"/>
      <c r="BJ1089" s="13"/>
      <c r="BK1089" s="13"/>
      <c r="BL1089" s="13"/>
      <c r="BM1089" s="13"/>
      <c r="BN1089" s="13"/>
      <c r="BO1089" s="13"/>
    </row>
    <row r="1090" spans="1:67" x14ac:dyDescent="0.55000000000000004">
      <c r="A1090" s="30">
        <v>504</v>
      </c>
      <c r="B1090" s="6" t="s">
        <v>499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  <c r="AO1090" s="18"/>
      <c r="AP1090" s="18"/>
      <c r="AQ1090" s="18"/>
      <c r="AR1090" s="18"/>
      <c r="AS1090" s="18"/>
      <c r="AT1090" s="18"/>
      <c r="AU1090" s="18"/>
      <c r="AV1090" s="18"/>
      <c r="AW1090" s="18"/>
      <c r="AX1090" s="18"/>
      <c r="AY1090" s="18"/>
      <c r="AZ1090" s="18"/>
      <c r="BA1090" s="18"/>
      <c r="BB1090" s="18"/>
      <c r="BC1090" s="18"/>
      <c r="BD1090" s="18"/>
      <c r="BE1090" s="18"/>
      <c r="BF1090" s="18"/>
      <c r="BG1090" s="18"/>
      <c r="BH1090" s="18"/>
      <c r="BI1090" s="18"/>
      <c r="BJ1090" s="18"/>
      <c r="BK1090" s="18"/>
      <c r="BL1090" s="18"/>
      <c r="BM1090" s="18"/>
      <c r="BN1090" s="18"/>
      <c r="BO1090" s="18"/>
    </row>
    <row r="1091" spans="1:67" x14ac:dyDescent="0.55000000000000004">
      <c r="A1091" s="31">
        <v>506</v>
      </c>
      <c r="B1091" s="5" t="s">
        <v>500</v>
      </c>
      <c r="C1091" s="29">
        <f>HYPERLINK("[P Only Old retention.xlsx]'Lake P Results'!AE187", 0.0479999999999999)</f>
        <v>4.7999999999999897E-2</v>
      </c>
      <c r="D1091" s="29">
        <f>HYPERLINK("[P Only New retention.xlsx]'Lake P Results'!AE187", 0.0479999999999999)</f>
        <v>4.7999999999999897E-2</v>
      </c>
      <c r="E1091" s="29">
        <f>HYPERLINK("[P Only with New retention and Differentiation.xlsx]'Lake P Results'!AE187", 0.0479999999999999)</f>
        <v>4.7999999999999897E-2</v>
      </c>
      <c r="F1091" s="13"/>
      <c r="G1091" s="13"/>
      <c r="H1091" s="28">
        <f>HYPERLINK("[P Only Old retention.xlsx]'Lake P Results'!AM187", 700)</f>
        <v>700</v>
      </c>
      <c r="I1091" s="28">
        <f>HYPERLINK("[P Only New retention.xlsx]'Lake P Results'!AM187", 700)</f>
        <v>700</v>
      </c>
      <c r="J1091" s="28">
        <f>HYPERLINK("[P Only with New retention and Differentiation.xlsx]'Lake P Results'!AM187", 700)</f>
        <v>700</v>
      </c>
      <c r="K1091" s="13"/>
      <c r="L1091" s="13"/>
      <c r="M1091" s="29">
        <f>HYPERLINK("[P Only Old retention.xlsx]'Lake P Results'!AC187", 25.99)</f>
        <v>25.99</v>
      </c>
      <c r="N1091" s="29">
        <f>HYPERLINK("[P Only New retention.xlsx]'Lake P Results'!AC187", 35.9)</f>
        <v>35.9</v>
      </c>
      <c r="O1091" s="29">
        <f>HYPERLINK("[P Only with New retention and Differentiation.xlsx]'Lake P Results'!AC187", 24.75)</f>
        <v>24.75</v>
      </c>
      <c r="P1091" s="46">
        <f>N1091-M1091</f>
        <v>9.91</v>
      </c>
      <c r="Q1091" s="47">
        <f>O1091-M1091</f>
        <v>-1.2399999999999984</v>
      </c>
      <c r="R1091" s="29">
        <f>HYPERLINK("[P Only Old retention.xlsx]'Lake P Results'!Y187", 3.828)</f>
        <v>3.8279999999999998</v>
      </c>
      <c r="S1091" s="29">
        <f>HYPERLINK("[P Only New retention.xlsx]'Lake P Results'!Y187", 5.96)</f>
        <v>5.96</v>
      </c>
      <c r="T1091" s="29">
        <f>HYPERLINK("[P Only with New retention and Differentiation.xlsx]'Lake P Results'!Y187", 18.604)</f>
        <v>18.603999999999999</v>
      </c>
      <c r="U1091" s="46">
        <f>S1091-R1091</f>
        <v>2.1320000000000001</v>
      </c>
      <c r="V1091" s="46">
        <f>T1091-R1091</f>
        <v>14.776</v>
      </c>
      <c r="W1091" s="29">
        <f>HYPERLINK("[P Only Old retention.xlsx]'Lake P Results'!V187", 103.376)</f>
        <v>103.376</v>
      </c>
      <c r="X1091" s="29">
        <f>HYPERLINK("[P Only New retention.xlsx]'Lake P Results'!V187", 103.376)</f>
        <v>103.376</v>
      </c>
      <c r="Y1091" s="29">
        <f>HYPERLINK("[P Only with New retention and Differentiation.xlsx]'Lake P Results'!V187", 103.376)</f>
        <v>103.376</v>
      </c>
      <c r="Z1091" s="13"/>
      <c r="AA1091" s="13"/>
      <c r="AB1091" s="29">
        <f>HYPERLINK("[P Only Old retention.xlsx]'Lake P Results'!Z187", 16.226)</f>
        <v>16.225999999999999</v>
      </c>
      <c r="AC1091" s="29">
        <f>HYPERLINK("[P Only New retention.xlsx]'Lake P Results'!Z187", 4.184)</f>
        <v>4.1840000000000002</v>
      </c>
      <c r="AD1091" s="29">
        <f>HYPERLINK("[P Only with New retention and Differentiation.xlsx]'Lake P Results'!Z187", 2.69)</f>
        <v>2.69</v>
      </c>
      <c r="AE1091" s="47">
        <f>AC1091-AB1091</f>
        <v>-12.041999999999998</v>
      </c>
      <c r="AF1091" s="47">
        <f>AD1091-AB1091</f>
        <v>-13.536</v>
      </c>
      <c r="AG1091" s="29">
        <f>HYPERLINK("[P Only Old retention.xlsx]'Lake P Results'!AA187", 1.24)</f>
        <v>1.24</v>
      </c>
      <c r="AH1091" s="29">
        <f>HYPERLINK("[P Only New retention.xlsx]'Lake P Results'!AA187", 1.24)</f>
        <v>1.24</v>
      </c>
      <c r="AI1091" s="29">
        <f>HYPERLINK("[P Only with New retention and Differentiation.xlsx]'Lake P Results'!AA187", 1.24)</f>
        <v>1.24</v>
      </c>
      <c r="AJ1091" s="13"/>
      <c r="AK1091" s="13"/>
      <c r="AL1091" s="13"/>
      <c r="AM1091" s="13"/>
      <c r="AN1091" s="13"/>
      <c r="AO1091" s="13"/>
      <c r="AP1091" s="13"/>
      <c r="AQ1091" s="28">
        <f>HYPERLINK("[P Only Old retention.xlsx]'Lake P Results'!AH187", 200)</f>
        <v>200</v>
      </c>
      <c r="AR1091" s="28">
        <f>HYPERLINK("[P Only New retention.xlsx]'Lake P Results'!AH187", 200)</f>
        <v>200</v>
      </c>
      <c r="AS1091" s="28">
        <f>HYPERLINK("[P Only with New retention and Differentiation.xlsx]'Lake P Results'!AH187", 200)</f>
        <v>200</v>
      </c>
      <c r="AT1091" s="13"/>
      <c r="AU1091" s="13"/>
      <c r="AV1091" s="29">
        <f>HYPERLINK("[P Only Old retention.xlsx]'Lake P Results'!M187", 6.41)</f>
        <v>6.41</v>
      </c>
      <c r="AW1091" s="29">
        <f>HYPERLINK("[P Only New retention.xlsx]'Lake P Results'!M187", 6.41)</f>
        <v>6.41</v>
      </c>
      <c r="AX1091" s="29">
        <f>HYPERLINK("[P Only with New retention and Differentiation.xlsx]'Lake P Results'!M187", 6.41)</f>
        <v>6.41</v>
      </c>
      <c r="AY1091" s="13"/>
      <c r="AZ1091" s="13"/>
      <c r="BA1091" s="29">
        <f>HYPERLINK("[P Only Old retention.xlsx]'Lake P Results'!O187", 3.362)</f>
        <v>3.3620000000000001</v>
      </c>
      <c r="BB1091" s="29">
        <f>HYPERLINK("[P Only New retention.xlsx]'Lake P Results'!O187", 3.362)</f>
        <v>3.3620000000000001</v>
      </c>
      <c r="BC1091" s="29">
        <f>HYPERLINK("[P Only with New retention and Differentiation.xlsx]'Lake P Results'!O187", 3.362)</f>
        <v>3.3620000000000001</v>
      </c>
      <c r="BD1091" s="13"/>
      <c r="BE1091" s="13"/>
      <c r="BF1091" s="13"/>
      <c r="BG1091" s="13"/>
      <c r="BH1091" s="13"/>
      <c r="BI1091" s="13"/>
      <c r="BJ1091" s="13"/>
      <c r="BK1091" s="13"/>
      <c r="BL1091" s="13"/>
      <c r="BM1091" s="13"/>
      <c r="BN1091" s="13"/>
      <c r="BO1091" s="13"/>
    </row>
    <row r="1092" spans="1:67" x14ac:dyDescent="0.55000000000000004">
      <c r="A1092" s="30">
        <v>508</v>
      </c>
      <c r="B1092" s="6" t="s">
        <v>501</v>
      </c>
      <c r="C1092" s="18"/>
      <c r="D1092" s="18"/>
      <c r="E1092" s="18"/>
      <c r="F1092" s="18"/>
      <c r="G1092" s="18"/>
      <c r="H1092" s="26">
        <f>HYPERLINK("[P Only Old retention.xlsx]'Lake P Results'!AM188", 1500)</f>
        <v>1500</v>
      </c>
      <c r="I1092" s="26">
        <f>HYPERLINK("[P Only New retention.xlsx]'Lake P Results'!AM188", 1500)</f>
        <v>1500</v>
      </c>
      <c r="J1092" s="26">
        <f>HYPERLINK("[P Only with New retention and Differentiation.xlsx]'Lake P Results'!AM188", 1500)</f>
        <v>1500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27">
        <f>HYPERLINK("[P Only Old retention.xlsx]'Lake P Results'!AA188", 1.964)</f>
        <v>1.964</v>
      </c>
      <c r="AH1092" s="27">
        <f>HYPERLINK("[P Only New retention.xlsx]'Lake P Results'!AA188", 1.964)</f>
        <v>1.964</v>
      </c>
      <c r="AI1092" s="27">
        <f>HYPERLINK("[P Only with New retention and Differentiation.xlsx]'Lake P Results'!AA188", 1.964)</f>
        <v>1.964</v>
      </c>
      <c r="AJ1092" s="18"/>
      <c r="AK1092" s="18"/>
      <c r="AL1092" s="18"/>
      <c r="AM1092" s="18"/>
      <c r="AN1092" s="18"/>
      <c r="AO1092" s="18"/>
      <c r="AP1092" s="18"/>
      <c r="AQ1092" s="18"/>
      <c r="AR1092" s="18"/>
      <c r="AS1092" s="18"/>
      <c r="AT1092" s="18"/>
      <c r="AU1092" s="18"/>
      <c r="AV1092" s="27">
        <f>HYPERLINK("[P Only Old retention.xlsx]'Lake P Results'!M188", 59.95)</f>
        <v>59.95</v>
      </c>
      <c r="AW1092" s="27">
        <f>HYPERLINK("[P Only New retention.xlsx]'Lake P Results'!M188", 59.95)</f>
        <v>59.95</v>
      </c>
      <c r="AX1092" s="27">
        <f>HYPERLINK("[P Only with New retention and Differentiation.xlsx]'Lake P Results'!M188", 59.95)</f>
        <v>59.95</v>
      </c>
      <c r="AY1092" s="18"/>
      <c r="AZ1092" s="18"/>
      <c r="BA1092" s="18"/>
      <c r="BB1092" s="18"/>
      <c r="BC1092" s="18"/>
      <c r="BD1092" s="18"/>
      <c r="BE1092" s="18"/>
      <c r="BF1092" s="18"/>
      <c r="BG1092" s="18"/>
      <c r="BH1092" s="18"/>
      <c r="BI1092" s="18"/>
      <c r="BJ1092" s="18"/>
      <c r="BK1092" s="18"/>
      <c r="BL1092" s="18"/>
      <c r="BM1092" s="18"/>
      <c r="BN1092" s="18"/>
      <c r="BO1092" s="18"/>
    </row>
    <row r="1093" spans="1:67" x14ac:dyDescent="0.55000000000000004">
      <c r="A1093" s="31">
        <v>510</v>
      </c>
      <c r="B1093" s="5" t="s">
        <v>502</v>
      </c>
      <c r="C1093" s="13"/>
      <c r="D1093" s="13"/>
      <c r="E1093" s="13"/>
      <c r="F1093" s="13"/>
      <c r="G1093" s="13"/>
      <c r="H1093" s="28">
        <f>HYPERLINK("[P Only Old retention.xlsx]'Lake P Results'!AM189", 23600)</f>
        <v>23600</v>
      </c>
      <c r="I1093" s="28">
        <f>HYPERLINK("[P Only New retention.xlsx]'Lake P Results'!AM189", 23500)</f>
        <v>23500</v>
      </c>
      <c r="J1093" s="28">
        <f>HYPERLINK("[P Only with New retention and Differentiation.xlsx]'Lake P Results'!AM189", 23500)</f>
        <v>23500</v>
      </c>
      <c r="K1093" s="21">
        <f>I1093-H1093</f>
        <v>-100</v>
      </c>
      <c r="L1093" s="21">
        <f>J1093-H1093</f>
        <v>-100</v>
      </c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29">
        <f>HYPERLINK("[P Only Old retention.xlsx]'Lake P Results'!AA189", 7.46)</f>
        <v>7.46</v>
      </c>
      <c r="AH1093" s="29">
        <f>HYPERLINK("[P Only New retention.xlsx]'Lake P Results'!AA189", 8.11)</f>
        <v>8.11</v>
      </c>
      <c r="AI1093" s="29">
        <f>HYPERLINK("[P Only with New retention and Differentiation.xlsx]'Lake P Results'!AA189", 8.11)</f>
        <v>8.11</v>
      </c>
      <c r="AJ1093" s="46">
        <f>AH1093-AG1093</f>
        <v>0.64999999999999947</v>
      </c>
      <c r="AK1093" s="46">
        <f>AI1093-AG1093</f>
        <v>0.64999999999999947</v>
      </c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  <c r="BO1093" s="13"/>
    </row>
    <row r="1094" spans="1:67" x14ac:dyDescent="0.55000000000000004">
      <c r="A1094" s="30">
        <v>512</v>
      </c>
      <c r="B1094" s="6" t="s">
        <v>503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18"/>
      <c r="AQ1094" s="18"/>
      <c r="AR1094" s="18"/>
      <c r="AS1094" s="18"/>
      <c r="AT1094" s="18"/>
      <c r="AU1094" s="18"/>
      <c r="AV1094" s="18"/>
      <c r="AW1094" s="18"/>
      <c r="AX1094" s="18"/>
      <c r="AY1094" s="18"/>
      <c r="AZ1094" s="18"/>
      <c r="BA1094" s="18"/>
      <c r="BB1094" s="18"/>
      <c r="BC1094" s="18"/>
      <c r="BD1094" s="18"/>
      <c r="BE1094" s="18"/>
      <c r="BF1094" s="18"/>
      <c r="BG1094" s="18"/>
      <c r="BH1094" s="18"/>
      <c r="BI1094" s="18"/>
      <c r="BJ1094" s="18"/>
      <c r="BK1094" s="18"/>
      <c r="BL1094" s="18"/>
      <c r="BM1094" s="18"/>
      <c r="BN1094" s="18"/>
      <c r="BO1094" s="18"/>
    </row>
    <row r="1095" spans="1:67" x14ac:dyDescent="0.55000000000000004">
      <c r="A1095" s="31">
        <v>513</v>
      </c>
      <c r="B1095" s="5" t="s">
        <v>504</v>
      </c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</row>
    <row r="1096" spans="1:67" x14ac:dyDescent="0.55000000000000004">
      <c r="A1096" s="30">
        <v>515</v>
      </c>
      <c r="B1096" s="6" t="s">
        <v>505</v>
      </c>
      <c r="C1096" s="18"/>
      <c r="D1096" s="18"/>
      <c r="E1096" s="18"/>
      <c r="F1096" s="18"/>
      <c r="G1096" s="18"/>
      <c r="H1096" s="26">
        <f>HYPERLINK("[P Only Old retention.xlsx]'Lake P Results'!AM192", 2200)</f>
        <v>2200</v>
      </c>
      <c r="I1096" s="26">
        <f>HYPERLINK("[P Only New retention.xlsx]'Lake P Results'!AM192", 2200)</f>
        <v>2200</v>
      </c>
      <c r="J1096" s="26">
        <f>HYPERLINK("[P Only with New retention and Differentiation.xlsx]'Lake P Results'!AM192", 2200)</f>
        <v>2200</v>
      </c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  <c r="AO1096" s="18"/>
      <c r="AP1096" s="18"/>
      <c r="AQ1096" s="18"/>
      <c r="AR1096" s="18"/>
      <c r="AS1096" s="18"/>
      <c r="AT1096" s="18"/>
      <c r="AU1096" s="18"/>
      <c r="AV1096" s="27">
        <f>HYPERLINK("[P Only Old retention.xlsx]'Lake P Results'!M192", 23.62)</f>
        <v>23.62</v>
      </c>
      <c r="AW1096" s="27">
        <f>HYPERLINK("[P Only New retention.xlsx]'Lake P Results'!M192", 23.62)</f>
        <v>23.62</v>
      </c>
      <c r="AX1096" s="27">
        <f>HYPERLINK("[P Only with New retention and Differentiation.xlsx]'Lake P Results'!M192", 23.62)</f>
        <v>23.62</v>
      </c>
      <c r="AY1096" s="18"/>
      <c r="AZ1096" s="18"/>
      <c r="BA1096" s="18"/>
      <c r="BB1096" s="18"/>
      <c r="BC1096" s="18"/>
      <c r="BD1096" s="18"/>
      <c r="BE1096" s="18"/>
      <c r="BF1096" s="18"/>
      <c r="BG1096" s="18"/>
      <c r="BH1096" s="18"/>
      <c r="BI1096" s="18"/>
      <c r="BJ1096" s="18"/>
      <c r="BK1096" s="18"/>
      <c r="BL1096" s="18"/>
      <c r="BM1096" s="18"/>
      <c r="BN1096" s="18"/>
      <c r="BO1096" s="18"/>
    </row>
    <row r="1097" spans="1:67" x14ac:dyDescent="0.55000000000000004">
      <c r="A1097" s="31">
        <v>516</v>
      </c>
      <c r="B1097" s="5" t="s">
        <v>506</v>
      </c>
      <c r="C1097" s="29">
        <f>HYPERLINK("[P Only Old retention.xlsx]'Lake P Results'!AE193", 15.836)</f>
        <v>15.836</v>
      </c>
      <c r="D1097" s="29">
        <f>HYPERLINK("[P Only New retention.xlsx]'Lake P Results'!AE193", 15.836)</f>
        <v>15.836</v>
      </c>
      <c r="E1097" s="29">
        <f>HYPERLINK("[P Only with New retention and Differentiation.xlsx]'Lake P Results'!AE193", 15.836)</f>
        <v>15.836</v>
      </c>
      <c r="F1097" s="13"/>
      <c r="G1097" s="13"/>
      <c r="H1097" s="28">
        <f>HYPERLINK("[P Only Old retention.xlsx]'Lake P Results'!AM193", 86000)</f>
        <v>86000</v>
      </c>
      <c r="I1097" s="28">
        <f>HYPERLINK("[P Only New retention.xlsx]'Lake P Results'!AM193", 86000)</f>
        <v>86000</v>
      </c>
      <c r="J1097" s="28">
        <f>HYPERLINK("[P Only with New retention and Differentiation.xlsx]'Lake P Results'!AM193", 86000)</f>
        <v>86000</v>
      </c>
      <c r="K1097" s="13"/>
      <c r="L1097" s="13"/>
      <c r="M1097" s="29">
        <f>HYPERLINK("[P Only Old retention.xlsx]'Lake P Results'!AC193", 159.126)</f>
        <v>159.126</v>
      </c>
      <c r="N1097" s="29">
        <f>HYPERLINK("[P Only New retention.xlsx]'Lake P Results'!AC193", 116.598)</f>
        <v>116.598</v>
      </c>
      <c r="O1097" s="29">
        <f>HYPERLINK("[P Only with New retention and Differentiation.xlsx]'Lake P Results'!AC193", 127.188)</f>
        <v>127.188</v>
      </c>
      <c r="P1097" s="47">
        <f>N1097-M1097</f>
        <v>-42.528000000000006</v>
      </c>
      <c r="Q1097" s="47">
        <f>O1097-M1097</f>
        <v>-31.938000000000002</v>
      </c>
      <c r="R1097" s="29">
        <f>HYPERLINK("[P Only Old retention.xlsx]'Lake P Results'!Y193", 80.034)</f>
        <v>80.034000000000006</v>
      </c>
      <c r="S1097" s="29">
        <f>HYPERLINK("[P Only New retention.xlsx]'Lake P Results'!Y193", 74.802)</f>
        <v>74.802000000000007</v>
      </c>
      <c r="T1097" s="29">
        <f>HYPERLINK("[P Only with New retention and Differentiation.xlsx]'Lake P Results'!Y193", 90.288)</f>
        <v>90.287999999999997</v>
      </c>
      <c r="U1097" s="47">
        <f>S1097-R1097</f>
        <v>-5.2319999999999993</v>
      </c>
      <c r="V1097" s="46">
        <f>T1097-R1097</f>
        <v>10.253999999999991</v>
      </c>
      <c r="W1097" s="29">
        <f>HYPERLINK("[P Only Old retention.xlsx]'Lake P Results'!V193", 133.54)</f>
        <v>133.54</v>
      </c>
      <c r="X1097" s="29">
        <f>HYPERLINK("[P Only New retention.xlsx]'Lake P Results'!V193", 133.54)</f>
        <v>133.54</v>
      </c>
      <c r="Y1097" s="29">
        <f>HYPERLINK("[P Only with New retention and Differentiation.xlsx]'Lake P Results'!V193", 133.54)</f>
        <v>133.54</v>
      </c>
      <c r="Z1097" s="13"/>
      <c r="AA1097" s="13"/>
      <c r="AB1097" s="29">
        <f>HYPERLINK("[P Only Old retention.xlsx]'Lake P Results'!Z193", 50.852)</f>
        <v>50.851999999999997</v>
      </c>
      <c r="AC1097" s="29">
        <f>HYPERLINK("[P Only New retention.xlsx]'Lake P Results'!Z193", 98.612)</f>
        <v>98.611999999999995</v>
      </c>
      <c r="AD1097" s="29">
        <f>HYPERLINK("[P Only with New retention and Differentiation.xlsx]'Lake P Results'!Z193", 72.536)</f>
        <v>72.536000000000001</v>
      </c>
      <c r="AE1097" s="46">
        <f>AC1097-AB1097</f>
        <v>47.76</v>
      </c>
      <c r="AF1097" s="46">
        <f>AD1097-AB1097</f>
        <v>21.684000000000005</v>
      </c>
      <c r="AG1097" s="13"/>
      <c r="AH1097" s="13"/>
      <c r="AI1097" s="13"/>
      <c r="AJ1097" s="13"/>
      <c r="AK1097" s="13"/>
      <c r="AL1097" s="29">
        <f>HYPERLINK("[P Only Old retention.xlsx]'Lake P Results'!AF193", 0.36)</f>
        <v>0.36</v>
      </c>
      <c r="AM1097" s="29">
        <f>HYPERLINK("[P Only New retention.xlsx]'Lake P Results'!AF193", 0.36)</f>
        <v>0.36</v>
      </c>
      <c r="AN1097" s="29">
        <f>HYPERLINK("[P Only with New retention and Differentiation.xlsx]'Lake P Results'!AF193", 0.36)</f>
        <v>0.36</v>
      </c>
      <c r="AO1097" s="13"/>
      <c r="AP1097" s="13"/>
      <c r="AQ1097" s="28">
        <f>HYPERLINK("[P Only Old retention.xlsx]'Lake P Results'!AH193", 3279.99999997377)</f>
        <v>3279.9999999737702</v>
      </c>
      <c r="AR1097" s="28">
        <f>HYPERLINK("[P Only New retention.xlsx]'Lake P Results'!AH193", 3279.99999997377)</f>
        <v>3279.9999999737702</v>
      </c>
      <c r="AS1097" s="28">
        <f>HYPERLINK("[P Only with New retention and Differentiation.xlsx]'Lake P Results'!AH193", 3279.99999997377)</f>
        <v>3279.9999999737702</v>
      </c>
      <c r="AT1097" s="13"/>
      <c r="AU1097" s="13"/>
      <c r="AV1097" s="29">
        <f>HYPERLINK("[P Only Old retention.xlsx]'Lake P Results'!M193", 32.58)</f>
        <v>32.58</v>
      </c>
      <c r="AW1097" s="29">
        <f>HYPERLINK("[P Only New retention.xlsx]'Lake P Results'!M193", 32.58)</f>
        <v>32.58</v>
      </c>
      <c r="AX1097" s="29">
        <f>HYPERLINK("[P Only with New retention and Differentiation.xlsx]'Lake P Results'!M193", 32.58)</f>
        <v>32.58</v>
      </c>
      <c r="AY1097" s="13"/>
      <c r="AZ1097" s="13"/>
      <c r="BA1097" s="29">
        <f>HYPERLINK("[P Only Old retention.xlsx]'Lake P Results'!O193", 3645.312)</f>
        <v>3645.3119999999999</v>
      </c>
      <c r="BB1097" s="29">
        <f>HYPERLINK("[P Only New retention.xlsx]'Lake P Results'!O193", 3645.312)</f>
        <v>3645.3119999999999</v>
      </c>
      <c r="BC1097" s="29">
        <f>HYPERLINK("[P Only with New retention and Differentiation.xlsx]'Lake P Results'!O193", 3645.312)</f>
        <v>3645.3119999999999</v>
      </c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</row>
    <row r="1098" spans="1:67" x14ac:dyDescent="0.55000000000000004">
      <c r="A1098" s="30">
        <v>517</v>
      </c>
      <c r="B1098" s="6" t="s">
        <v>507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  <c r="AO1098" s="18"/>
      <c r="AP1098" s="18"/>
      <c r="AQ1098" s="18"/>
      <c r="AR1098" s="18"/>
      <c r="AS1098" s="18"/>
      <c r="AT1098" s="18"/>
      <c r="AU1098" s="18"/>
      <c r="AV1098" s="18"/>
      <c r="AW1098" s="18"/>
      <c r="AX1098" s="18"/>
      <c r="AY1098" s="18"/>
      <c r="AZ1098" s="18"/>
      <c r="BA1098" s="18"/>
      <c r="BB1098" s="18"/>
      <c r="BC1098" s="18"/>
      <c r="BD1098" s="18"/>
      <c r="BE1098" s="18"/>
      <c r="BF1098" s="18"/>
      <c r="BG1098" s="18"/>
      <c r="BH1098" s="18"/>
      <c r="BI1098" s="18"/>
      <c r="BJ1098" s="18"/>
      <c r="BK1098" s="18"/>
      <c r="BL1098" s="18"/>
      <c r="BM1098" s="18"/>
      <c r="BN1098" s="18"/>
      <c r="BO1098" s="18"/>
    </row>
    <row r="1099" spans="1:67" x14ac:dyDescent="0.55000000000000004">
      <c r="A1099" s="31">
        <v>520</v>
      </c>
      <c r="B1099" s="5" t="s">
        <v>508</v>
      </c>
      <c r="C1099" s="13"/>
      <c r="D1099" s="13"/>
      <c r="E1099" s="13"/>
      <c r="F1099" s="13"/>
      <c r="G1099" s="13"/>
      <c r="H1099" s="28">
        <f>HYPERLINK("[P Only Old retention.xlsx]'Lake P Results'!AM195", 600)</f>
        <v>600</v>
      </c>
      <c r="I1099" s="28">
        <f>HYPERLINK("[P Only New retention.xlsx]'Lake P Results'!AM195", 600)</f>
        <v>600</v>
      </c>
      <c r="J1099" s="28">
        <f>HYPERLINK("[P Only with New retention and Differentiation.xlsx]'Lake P Results'!AM195", 600)</f>
        <v>600</v>
      </c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</row>
    <row r="1100" spans="1:67" x14ac:dyDescent="0.55000000000000004">
      <c r="A1100" s="30">
        <v>522</v>
      </c>
      <c r="B1100" s="6" t="s">
        <v>509</v>
      </c>
      <c r="C1100" s="27">
        <f>HYPERLINK("[P Only Old retention.xlsx]'Lake P Results'!AE196", 0.08)</f>
        <v>0.08</v>
      </c>
      <c r="D1100" s="27">
        <f>HYPERLINK("[P Only New retention.xlsx]'Lake P Results'!AE196", 0.08)</f>
        <v>0.08</v>
      </c>
      <c r="E1100" s="27">
        <f>HYPERLINK("[P Only with New retention and Differentiation.xlsx]'Lake P Results'!AE196", 0.08)</f>
        <v>0.08</v>
      </c>
      <c r="F1100" s="18"/>
      <c r="G1100" s="18"/>
      <c r="H1100" s="26">
        <f>HYPERLINK("[P Only Old retention.xlsx]'Lake P Results'!AM196", 10600)</f>
        <v>10600</v>
      </c>
      <c r="I1100" s="26">
        <f>HYPERLINK("[P Only New retention.xlsx]'Lake P Results'!AM196", 10600)</f>
        <v>10600</v>
      </c>
      <c r="J1100" s="26">
        <f>HYPERLINK("[P Only with New retention and Differentiation.xlsx]'Lake P Results'!AM196", 10600)</f>
        <v>10600</v>
      </c>
      <c r="K1100" s="18"/>
      <c r="L1100" s="18"/>
      <c r="M1100" s="18"/>
      <c r="N1100" s="18"/>
      <c r="O1100" s="18"/>
      <c r="P1100" s="18"/>
      <c r="Q1100" s="18"/>
      <c r="R1100" s="27">
        <f>HYPERLINK("[P Only Old retention.xlsx]'Lake P Results'!Y196", 0.14)</f>
        <v>0.14000000000000001</v>
      </c>
      <c r="S1100" s="18"/>
      <c r="T1100" s="27">
        <f>HYPERLINK("[P Only with New retention and Differentiation.xlsx]'Lake P Results'!Y196", 0.14)</f>
        <v>0.14000000000000001</v>
      </c>
      <c r="U1100" s="47">
        <f>S1100-R1100</f>
        <v>-0.14000000000000001</v>
      </c>
      <c r="V1100" s="18"/>
      <c r="W1100" s="27">
        <f>HYPERLINK("[P Only Old retention.xlsx]'Lake P Results'!V196", 4.19)</f>
        <v>4.1900000000000004</v>
      </c>
      <c r="X1100" s="27">
        <f>HYPERLINK("[P Only New retention.xlsx]'Lake P Results'!V196", 4.19)</f>
        <v>4.1900000000000004</v>
      </c>
      <c r="Y1100" s="27">
        <f>HYPERLINK("[P Only with New retention and Differentiation.xlsx]'Lake P Results'!V196", 4.19)</f>
        <v>4.1900000000000004</v>
      </c>
      <c r="Z1100" s="18"/>
      <c r="AA1100" s="18"/>
      <c r="AB1100" s="27">
        <f>HYPERLINK("[P Only Old retention.xlsx]'Lake P Results'!Z196", 2.4)</f>
        <v>2.4</v>
      </c>
      <c r="AC1100" s="27">
        <f>HYPERLINK("[P Only New retention.xlsx]'Lake P Results'!Z196", 2.54)</f>
        <v>2.54</v>
      </c>
      <c r="AD1100" s="27">
        <f>HYPERLINK("[P Only with New retention and Differentiation.xlsx]'Lake P Results'!Z196", 2.4)</f>
        <v>2.4</v>
      </c>
      <c r="AE1100" s="46">
        <f>AC1100-AB1100</f>
        <v>0.14000000000000012</v>
      </c>
      <c r="AF1100" s="18"/>
      <c r="AG1100" s="27">
        <f>HYPERLINK("[P Only Old retention.xlsx]'Lake P Results'!AA196", 5.41)</f>
        <v>5.41</v>
      </c>
      <c r="AH1100" s="27">
        <f>HYPERLINK("[P Only New retention.xlsx]'Lake P Results'!AA196", 5.41)</f>
        <v>5.41</v>
      </c>
      <c r="AI1100" s="27">
        <f>HYPERLINK("[P Only with New retention and Differentiation.xlsx]'Lake P Results'!AA196", 5.41)</f>
        <v>5.41</v>
      </c>
      <c r="AJ1100" s="18"/>
      <c r="AK1100" s="18"/>
      <c r="AL1100" s="18"/>
      <c r="AM1100" s="18"/>
      <c r="AN1100" s="18"/>
      <c r="AO1100" s="18"/>
      <c r="AP1100" s="18"/>
      <c r="AQ1100" s="26">
        <f>HYPERLINK("[P Only Old retention.xlsx]'Lake P Results'!AH196", 509.999999999551)</f>
        <v>509.99999999955099</v>
      </c>
      <c r="AR1100" s="26">
        <f>HYPERLINK("[P Only New retention.xlsx]'Lake P Results'!AH196", 509.999999999551)</f>
        <v>509.99999999955099</v>
      </c>
      <c r="AS1100" s="26">
        <f>HYPERLINK("[P Only with New retention and Differentiation.xlsx]'Lake P Results'!AH196", 509.999999999551)</f>
        <v>509.99999999955099</v>
      </c>
      <c r="AT1100" s="18"/>
      <c r="AU1100" s="18"/>
      <c r="AV1100" s="27">
        <f>HYPERLINK("[P Only Old retention.xlsx]'Lake P Results'!M196", 424.84)</f>
        <v>424.84</v>
      </c>
      <c r="AW1100" s="27">
        <f>HYPERLINK("[P Only New retention.xlsx]'Lake P Results'!M196", 424.84)</f>
        <v>424.84</v>
      </c>
      <c r="AX1100" s="27">
        <f>HYPERLINK("[P Only with New retention and Differentiation.xlsx]'Lake P Results'!M196", 424.84)</f>
        <v>424.84</v>
      </c>
      <c r="AY1100" s="18"/>
      <c r="AZ1100" s="18"/>
      <c r="BA1100" s="27">
        <f>HYPERLINK("[P Only Old retention.xlsx]'Lake P Results'!O196", 95.412)</f>
        <v>95.412000000000006</v>
      </c>
      <c r="BB1100" s="27">
        <f>HYPERLINK("[P Only New retention.xlsx]'Lake P Results'!O196", 95.412)</f>
        <v>95.412000000000006</v>
      </c>
      <c r="BC1100" s="27">
        <f>HYPERLINK("[P Only with New retention and Differentiation.xlsx]'Lake P Results'!O196", 95.412)</f>
        <v>95.412000000000006</v>
      </c>
      <c r="BD1100" s="18"/>
      <c r="BE1100" s="18"/>
      <c r="BF1100" s="18"/>
      <c r="BG1100" s="18"/>
      <c r="BH1100" s="18"/>
      <c r="BI1100" s="18"/>
      <c r="BJ1100" s="18"/>
      <c r="BK1100" s="18"/>
      <c r="BL1100" s="18"/>
      <c r="BM1100" s="18"/>
      <c r="BN1100" s="18"/>
      <c r="BO1100" s="18"/>
    </row>
    <row r="1101" spans="1:67" x14ac:dyDescent="0.55000000000000004">
      <c r="A1101" s="31">
        <v>526</v>
      </c>
      <c r="B1101" s="5" t="s">
        <v>510</v>
      </c>
      <c r="C1101" s="13"/>
      <c r="D1101" s="13"/>
      <c r="E1101" s="13"/>
      <c r="F1101" s="13"/>
      <c r="G1101" s="13"/>
      <c r="H1101" s="28">
        <f>HYPERLINK("[P Only Old retention.xlsx]'Lake P Results'!AM197", 5300)</f>
        <v>5300</v>
      </c>
      <c r="I1101" s="28">
        <f>HYPERLINK("[P Only New retention.xlsx]'Lake P Results'!AM197", 5300)</f>
        <v>5300</v>
      </c>
      <c r="J1101" s="28">
        <f>HYPERLINK("[P Only with New retention and Differentiation.xlsx]'Lake P Results'!AM197", 5300)</f>
        <v>5300</v>
      </c>
      <c r="K1101" s="13"/>
      <c r="L1101" s="13"/>
      <c r="M1101" s="29">
        <f>HYPERLINK("[P Only Old retention.xlsx]'Lake P Results'!AC197", 43.27)</f>
        <v>43.27</v>
      </c>
      <c r="N1101" s="29">
        <f>HYPERLINK("[P Only New retention.xlsx]'Lake P Results'!AC197", 37.39)</f>
        <v>37.39</v>
      </c>
      <c r="O1101" s="29">
        <f>HYPERLINK("[P Only with New retention and Differentiation.xlsx]'Lake P Results'!AC197", 43.27)</f>
        <v>43.27</v>
      </c>
      <c r="P1101" s="47">
        <f>N1101-M1101</f>
        <v>-5.8800000000000026</v>
      </c>
      <c r="Q1101" s="13"/>
      <c r="R1101" s="13"/>
      <c r="S1101" s="29">
        <f>HYPERLINK("[P Only New retention.xlsx]'Lake P Results'!Y197", 5.88)</f>
        <v>5.88</v>
      </c>
      <c r="T1101" s="13"/>
      <c r="U1101" s="46">
        <f>S1101-R1101</f>
        <v>5.88</v>
      </c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28">
        <f>HYPERLINK("[P Only Old retention.xlsx]'Lake P Results'!AH197", 359.999999999779)</f>
        <v>359.99999999977899</v>
      </c>
      <c r="AR1101" s="28">
        <f>HYPERLINK("[P Only New retention.xlsx]'Lake P Results'!AH197", 359.999999999779)</f>
        <v>359.99999999977899</v>
      </c>
      <c r="AS1101" s="28">
        <f>HYPERLINK("[P Only with New retention and Differentiation.xlsx]'Lake P Results'!AH197", 359.999999999779)</f>
        <v>359.99999999977899</v>
      </c>
      <c r="AT1101" s="16">
        <f>AR1101-AQ1101</f>
        <v>0</v>
      </c>
      <c r="AU1101" s="16">
        <f>AS1101-AQ1101</f>
        <v>0</v>
      </c>
      <c r="AV1101" s="29">
        <f>HYPERLINK("[P Only Old retention.xlsx]'Lake P Results'!M197", 246.72)</f>
        <v>246.72</v>
      </c>
      <c r="AW1101" s="29">
        <f>HYPERLINK("[P Only New retention.xlsx]'Lake P Results'!M197", 246.72)</f>
        <v>246.72</v>
      </c>
      <c r="AX1101" s="29">
        <f>HYPERLINK("[P Only with New retention and Differentiation.xlsx]'Lake P Results'!M197", 246.72)</f>
        <v>246.72</v>
      </c>
      <c r="AY1101" s="13"/>
      <c r="AZ1101" s="13"/>
      <c r="BA1101" s="29">
        <f>HYPERLINK("[P Only Old retention.xlsx]'Lake P Results'!O197", 97.266)</f>
        <v>97.266000000000005</v>
      </c>
      <c r="BB1101" s="29">
        <f>HYPERLINK("[P Only New retention.xlsx]'Lake P Results'!O197", 97.266)</f>
        <v>97.266000000000005</v>
      </c>
      <c r="BC1101" s="29">
        <f>HYPERLINK("[P Only with New retention and Differentiation.xlsx]'Lake P Results'!O197", 97.266)</f>
        <v>97.266000000000005</v>
      </c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</row>
    <row r="1102" spans="1:67" x14ac:dyDescent="0.55000000000000004">
      <c r="A1102" s="30">
        <v>528</v>
      </c>
      <c r="B1102" s="6" t="s">
        <v>511</v>
      </c>
      <c r="C1102" s="18"/>
      <c r="D1102" s="18"/>
      <c r="E1102" s="18"/>
      <c r="F1102" s="18"/>
      <c r="G1102" s="18"/>
      <c r="H1102" s="26">
        <f>HYPERLINK("[P Only Old retention.xlsx]'Lake P Results'!AM198", 200)</f>
        <v>200</v>
      </c>
      <c r="I1102" s="26">
        <f>HYPERLINK("[P Only New retention.xlsx]'Lake P Results'!AM198", 200)</f>
        <v>200</v>
      </c>
      <c r="J1102" s="26">
        <f>HYPERLINK("[P Only with New retention and Differentiation.xlsx]'Lake P Results'!AM198", 200)</f>
        <v>200</v>
      </c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  <c r="AO1102" s="18"/>
      <c r="AP1102" s="18"/>
      <c r="AQ1102" s="18"/>
      <c r="AR1102" s="18"/>
      <c r="AS1102" s="18"/>
      <c r="AT1102" s="18"/>
      <c r="AU1102" s="18"/>
      <c r="AV1102" s="18"/>
      <c r="AW1102" s="18"/>
      <c r="AX1102" s="18"/>
      <c r="AY1102" s="18"/>
      <c r="AZ1102" s="18"/>
      <c r="BA1102" s="18"/>
      <c r="BB1102" s="18"/>
      <c r="BC1102" s="18"/>
      <c r="BD1102" s="18"/>
      <c r="BE1102" s="18"/>
      <c r="BF1102" s="18"/>
      <c r="BG1102" s="18"/>
      <c r="BH1102" s="18"/>
      <c r="BI1102" s="18"/>
      <c r="BJ1102" s="18"/>
      <c r="BK1102" s="18"/>
      <c r="BL1102" s="18"/>
      <c r="BM1102" s="18"/>
      <c r="BN1102" s="18"/>
      <c r="BO1102" s="18"/>
    </row>
    <row r="1103" spans="1:67" x14ac:dyDescent="0.55000000000000004">
      <c r="A1103" s="31">
        <v>529</v>
      </c>
      <c r="B1103" s="5" t="s">
        <v>512</v>
      </c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</row>
    <row r="1104" spans="1:67" x14ac:dyDescent="0.55000000000000004">
      <c r="A1104" s="30">
        <v>531</v>
      </c>
      <c r="B1104" s="6" t="s">
        <v>513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  <c r="AO1104" s="18"/>
      <c r="AP1104" s="18"/>
      <c r="AQ1104" s="18"/>
      <c r="AR1104" s="18"/>
      <c r="AS1104" s="18"/>
      <c r="AT1104" s="18"/>
      <c r="AU1104" s="18"/>
      <c r="AV1104" s="18"/>
      <c r="AW1104" s="18"/>
      <c r="AX1104" s="18"/>
      <c r="AY1104" s="18"/>
      <c r="AZ1104" s="18"/>
      <c r="BA1104" s="18"/>
      <c r="BB1104" s="18"/>
      <c r="BC1104" s="18"/>
      <c r="BD1104" s="18"/>
      <c r="BE1104" s="18"/>
      <c r="BF1104" s="18"/>
      <c r="BG1104" s="18"/>
      <c r="BH1104" s="18"/>
      <c r="BI1104" s="18"/>
      <c r="BJ1104" s="18"/>
      <c r="BK1104" s="18"/>
      <c r="BL1104" s="18"/>
      <c r="BM1104" s="18"/>
      <c r="BN1104" s="18"/>
      <c r="BO1104" s="18"/>
    </row>
    <row r="1105" spans="1:67" x14ac:dyDescent="0.55000000000000004">
      <c r="A1105" s="31">
        <v>532</v>
      </c>
      <c r="B1105" s="5" t="s">
        <v>514</v>
      </c>
      <c r="C1105" s="13"/>
      <c r="D1105" s="13"/>
      <c r="E1105" s="13"/>
      <c r="F1105" s="13"/>
      <c r="G1105" s="13"/>
      <c r="H1105" s="28">
        <f>HYPERLINK("[P Only Old retention.xlsx]'Lake P Results'!AM201", 100)</f>
        <v>100</v>
      </c>
      <c r="I1105" s="28">
        <f>HYPERLINK("[P Only New retention.xlsx]'Lake P Results'!AM201", 100)</f>
        <v>100</v>
      </c>
      <c r="J1105" s="28">
        <f>HYPERLINK("[P Only with New retention and Differentiation.xlsx]'Lake P Results'!AM201", 100)</f>
        <v>100</v>
      </c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</row>
    <row r="1106" spans="1:67" x14ac:dyDescent="0.55000000000000004">
      <c r="A1106" s="30">
        <v>534</v>
      </c>
      <c r="B1106" s="6" t="s">
        <v>515</v>
      </c>
      <c r="C1106" s="27">
        <f>HYPERLINK("[P Only Old retention.xlsx]'Lake P Results'!AE202", 0.539999999999999)</f>
        <v>0.53999999999999904</v>
      </c>
      <c r="D1106" s="27">
        <f>HYPERLINK("[P Only New retention.xlsx]'Lake P Results'!AE202", 0.539999999999999)</f>
        <v>0.53999999999999904</v>
      </c>
      <c r="E1106" s="27">
        <f>HYPERLINK("[P Only with New retention and Differentiation.xlsx]'Lake P Results'!AE202", 0.539999999999999)</f>
        <v>0.53999999999999904</v>
      </c>
      <c r="F1106" s="18"/>
      <c r="G1106" s="18"/>
      <c r="H1106" s="26">
        <f>HYPERLINK("[P Only Old retention.xlsx]'Lake P Results'!AM202", 14000)</f>
        <v>14000</v>
      </c>
      <c r="I1106" s="26">
        <f>HYPERLINK("[P Only New retention.xlsx]'Lake P Results'!AM202", 14000)</f>
        <v>14000</v>
      </c>
      <c r="J1106" s="26">
        <f>HYPERLINK("[P Only with New retention and Differentiation.xlsx]'Lake P Results'!AM202", 14000)</f>
        <v>14000</v>
      </c>
      <c r="K1106" s="18"/>
      <c r="L1106" s="18"/>
      <c r="M1106" s="27">
        <f>HYPERLINK("[P Only Old retention.xlsx]'Lake P Results'!AC202", 7.078)</f>
        <v>7.0780000000000003</v>
      </c>
      <c r="N1106" s="27">
        <f>HYPERLINK("[P Only New retention.xlsx]'Lake P Results'!AC202", 5.56)</f>
        <v>5.56</v>
      </c>
      <c r="O1106" s="27">
        <f>HYPERLINK("[P Only with New retention and Differentiation.xlsx]'Lake P Results'!AC202", 5.482)</f>
        <v>5.4820000000000002</v>
      </c>
      <c r="P1106" s="47">
        <f>N1106-M1106</f>
        <v>-1.5180000000000007</v>
      </c>
      <c r="Q1106" s="47">
        <f>O1106-M1106</f>
        <v>-1.5960000000000001</v>
      </c>
      <c r="R1106" s="27">
        <f>HYPERLINK("[P Only Old retention.xlsx]'Lake P Results'!Y202", 3.648)</f>
        <v>3.6480000000000001</v>
      </c>
      <c r="S1106" s="27">
        <f>HYPERLINK("[P Only New retention.xlsx]'Lake P Results'!Y202", 2.252)</f>
        <v>2.2519999999999998</v>
      </c>
      <c r="T1106" s="27">
        <f>HYPERLINK("[P Only with New retention and Differentiation.xlsx]'Lake P Results'!Y202", 0.99)</f>
        <v>0.99</v>
      </c>
      <c r="U1106" s="47">
        <f>S1106-R1106</f>
        <v>-1.3960000000000004</v>
      </c>
      <c r="V1106" s="47">
        <f>T1106-R1106</f>
        <v>-2.6580000000000004</v>
      </c>
      <c r="W1106" s="27">
        <f>HYPERLINK("[P Only Old retention.xlsx]'Lake P Results'!V202", 29.72)</f>
        <v>29.72</v>
      </c>
      <c r="X1106" s="27">
        <f>HYPERLINK("[P Only New retention.xlsx]'Lake P Results'!V202", 29.72)</f>
        <v>29.72</v>
      </c>
      <c r="Y1106" s="27">
        <f>HYPERLINK("[P Only with New retention and Differentiation.xlsx]'Lake P Results'!V202", 29.72)</f>
        <v>29.72</v>
      </c>
      <c r="Z1106" s="18"/>
      <c r="AA1106" s="18"/>
      <c r="AB1106" s="27">
        <f>HYPERLINK("[P Only Old retention.xlsx]'Lake P Results'!Z202", 6.928)</f>
        <v>6.9279999999999999</v>
      </c>
      <c r="AC1106" s="27">
        <f>HYPERLINK("[P Only New retention.xlsx]'Lake P Results'!Z202", 9.842)</f>
        <v>9.8420000000000005</v>
      </c>
      <c r="AD1106" s="27">
        <f>HYPERLINK("[P Only with New retention and Differentiation.xlsx]'Lake P Results'!Z202", 11.182)</f>
        <v>11.182</v>
      </c>
      <c r="AE1106" s="46">
        <f>AC1106-AB1106</f>
        <v>2.9140000000000006</v>
      </c>
      <c r="AF1106" s="46">
        <f>AD1106-AB1106</f>
        <v>4.2540000000000004</v>
      </c>
      <c r="AG1106" s="18"/>
      <c r="AH1106" s="18"/>
      <c r="AI1106" s="18"/>
      <c r="AJ1106" s="18"/>
      <c r="AK1106" s="18"/>
      <c r="AL1106" s="27">
        <f>HYPERLINK("[P Only Old retention.xlsx]'Lake P Results'!AF202", 0.16)</f>
        <v>0.16</v>
      </c>
      <c r="AM1106" s="27">
        <f>HYPERLINK("[P Only New retention.xlsx]'Lake P Results'!AF202", 0.16)</f>
        <v>0.16</v>
      </c>
      <c r="AN1106" s="27">
        <f>HYPERLINK("[P Only with New retention and Differentiation.xlsx]'Lake P Results'!AF202", 0.16)</f>
        <v>0.16</v>
      </c>
      <c r="AO1106" s="18"/>
      <c r="AP1106" s="18"/>
      <c r="AQ1106" s="26">
        <f>HYPERLINK("[P Only Old retention.xlsx]'Lake P Results'!AH202", 869.999999999832)</f>
        <v>869.99999999983197</v>
      </c>
      <c r="AR1106" s="26">
        <f>HYPERLINK("[P Only New retention.xlsx]'Lake P Results'!AH202", 869.999999999832)</f>
        <v>869.99999999983197</v>
      </c>
      <c r="AS1106" s="26">
        <f>HYPERLINK("[P Only with New retention and Differentiation.xlsx]'Lake P Results'!AH202", 869.999999999832)</f>
        <v>869.99999999983197</v>
      </c>
      <c r="AT1106" s="16">
        <f>AR1106-AQ1106</f>
        <v>0</v>
      </c>
      <c r="AU1106" s="16">
        <f>AS1106-AQ1106</f>
        <v>0</v>
      </c>
      <c r="AV1106" s="18"/>
      <c r="AW1106" s="18"/>
      <c r="AX1106" s="18"/>
      <c r="AY1106" s="18"/>
      <c r="AZ1106" s="18"/>
      <c r="BA1106" s="27">
        <f>HYPERLINK("[P Only Old retention.xlsx]'Lake P Results'!O202", 865.614)</f>
        <v>865.61400000000003</v>
      </c>
      <c r="BB1106" s="27">
        <f>HYPERLINK("[P Only New retention.xlsx]'Lake P Results'!O202", 865.614)</f>
        <v>865.61400000000003</v>
      </c>
      <c r="BC1106" s="27">
        <f>HYPERLINK("[P Only with New retention and Differentiation.xlsx]'Lake P Results'!O202", 865.614)</f>
        <v>865.61400000000003</v>
      </c>
      <c r="BD1106" s="18"/>
      <c r="BE1106" s="18"/>
      <c r="BF1106" s="18"/>
      <c r="BG1106" s="18"/>
      <c r="BH1106" s="18"/>
      <c r="BI1106" s="18"/>
      <c r="BJ1106" s="18"/>
      <c r="BK1106" s="18"/>
      <c r="BL1106" s="18"/>
      <c r="BM1106" s="18"/>
      <c r="BN1106" s="18"/>
      <c r="BO1106" s="18"/>
    </row>
    <row r="1107" spans="1:67" x14ac:dyDescent="0.55000000000000004">
      <c r="A1107" s="31">
        <v>538</v>
      </c>
      <c r="B1107" s="5" t="s">
        <v>516</v>
      </c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</row>
    <row r="1108" spans="1:67" x14ac:dyDescent="0.55000000000000004">
      <c r="A1108" s="30">
        <v>539</v>
      </c>
      <c r="B1108" s="6" t="s">
        <v>517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18"/>
      <c r="AQ1108" s="18"/>
      <c r="AR1108" s="18"/>
      <c r="AS1108" s="18"/>
      <c r="AT1108" s="18"/>
      <c r="AU1108" s="18"/>
      <c r="AV1108" s="18"/>
      <c r="AW1108" s="18"/>
      <c r="AX1108" s="18"/>
      <c r="AY1108" s="18"/>
      <c r="AZ1108" s="18"/>
      <c r="BA1108" s="18"/>
      <c r="BB1108" s="18"/>
      <c r="BC1108" s="18"/>
      <c r="BD1108" s="18"/>
      <c r="BE1108" s="18"/>
      <c r="BF1108" s="18"/>
      <c r="BG1108" s="18"/>
      <c r="BH1108" s="18"/>
      <c r="BI1108" s="18"/>
      <c r="BJ1108" s="18"/>
      <c r="BK1108" s="18"/>
      <c r="BL1108" s="18"/>
      <c r="BM1108" s="18"/>
      <c r="BN1108" s="18"/>
      <c r="BO1108" s="18"/>
    </row>
    <row r="1109" spans="1:67" x14ac:dyDescent="0.55000000000000004">
      <c r="A1109" s="31">
        <v>541</v>
      </c>
      <c r="B1109" s="5" t="s">
        <v>518</v>
      </c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</row>
    <row r="1110" spans="1:67" x14ac:dyDescent="0.55000000000000004">
      <c r="A1110" s="30">
        <v>542</v>
      </c>
      <c r="B1110" s="6" t="s">
        <v>519</v>
      </c>
      <c r="C1110" s="18"/>
      <c r="D1110" s="18"/>
      <c r="E1110" s="18"/>
      <c r="F1110" s="18"/>
      <c r="G1110" s="18"/>
      <c r="H1110" s="26">
        <f>HYPERLINK("[P Only Old retention.xlsx]'Lake P Results'!AM206", 300)</f>
        <v>300</v>
      </c>
      <c r="I1110" s="26">
        <f>HYPERLINK("[P Only New retention.xlsx]'Lake P Results'!AM206", 300)</f>
        <v>300</v>
      </c>
      <c r="J1110" s="26">
        <f>HYPERLINK("[P Only with New retention and Differentiation.xlsx]'Lake P Results'!AM206", 300)</f>
        <v>300</v>
      </c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  <c r="AO1110" s="18"/>
      <c r="AP1110" s="18"/>
      <c r="AQ1110" s="18"/>
      <c r="AR1110" s="18"/>
      <c r="AS1110" s="18"/>
      <c r="AT1110" s="18"/>
      <c r="AU1110" s="18"/>
      <c r="AV1110" s="18"/>
      <c r="AW1110" s="18"/>
      <c r="AX1110" s="18"/>
      <c r="AY1110" s="18"/>
      <c r="AZ1110" s="18"/>
      <c r="BA1110" s="18"/>
      <c r="BB1110" s="18"/>
      <c r="BC1110" s="18"/>
      <c r="BD1110" s="18"/>
      <c r="BE1110" s="18"/>
      <c r="BF1110" s="18"/>
      <c r="BG1110" s="18"/>
      <c r="BH1110" s="18"/>
      <c r="BI1110" s="18"/>
      <c r="BJ1110" s="18"/>
      <c r="BK1110" s="18"/>
      <c r="BL1110" s="18"/>
      <c r="BM1110" s="18"/>
      <c r="BN1110" s="18"/>
      <c r="BO1110" s="18"/>
    </row>
    <row r="1111" spans="1:67" x14ac:dyDescent="0.55000000000000004">
      <c r="A1111" s="31">
        <v>543</v>
      </c>
      <c r="B1111" s="5" t="s">
        <v>520</v>
      </c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</row>
    <row r="1112" spans="1:67" x14ac:dyDescent="0.55000000000000004">
      <c r="A1112" s="30">
        <v>544</v>
      </c>
      <c r="B1112" s="6" t="s">
        <v>521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  <c r="AO1112" s="18"/>
      <c r="AP1112" s="18"/>
      <c r="AQ1112" s="18"/>
      <c r="AR1112" s="18"/>
      <c r="AS1112" s="18"/>
      <c r="AT1112" s="18"/>
      <c r="AU1112" s="18"/>
      <c r="AV1112" s="18"/>
      <c r="AW1112" s="18"/>
      <c r="AX1112" s="18"/>
      <c r="AY1112" s="18"/>
      <c r="AZ1112" s="18"/>
      <c r="BA1112" s="18"/>
      <c r="BB1112" s="18"/>
      <c r="BC1112" s="18"/>
      <c r="BD1112" s="18"/>
      <c r="BE1112" s="18"/>
      <c r="BF1112" s="18"/>
      <c r="BG1112" s="18"/>
      <c r="BH1112" s="18"/>
      <c r="BI1112" s="18"/>
      <c r="BJ1112" s="18"/>
      <c r="BK1112" s="18"/>
      <c r="BL1112" s="18"/>
      <c r="BM1112" s="18"/>
      <c r="BN1112" s="18"/>
      <c r="BO1112" s="18"/>
    </row>
    <row r="1113" spans="1:67" x14ac:dyDescent="0.55000000000000004">
      <c r="A1113" s="31">
        <v>545</v>
      </c>
      <c r="B1113" s="5" t="s">
        <v>522</v>
      </c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29">
        <f>HYPERLINK("[P Only New retention.xlsx]'Lake P Results'!AC209", 3.32)</f>
        <v>3.32</v>
      </c>
      <c r="O1113" s="13"/>
      <c r="P1113" s="46">
        <f>N1113-M1113</f>
        <v>3.32</v>
      </c>
      <c r="Q1113" s="13"/>
      <c r="R1113" s="29">
        <f>HYPERLINK("[P Only Old retention.xlsx]'Lake P Results'!Y209", 3.32)</f>
        <v>3.32</v>
      </c>
      <c r="S1113" s="13"/>
      <c r="T1113" s="29">
        <f>HYPERLINK("[P Only with New retention and Differentiation.xlsx]'Lake P Results'!Y209", 3.32)</f>
        <v>3.32</v>
      </c>
      <c r="U1113" s="47">
        <f>S1113-R1113</f>
        <v>-3.32</v>
      </c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29">
        <f>HYPERLINK("[P Only Old retention.xlsx]'Lake P Results'!M209", 2.84)</f>
        <v>2.84</v>
      </c>
      <c r="AW1113" s="29">
        <f>HYPERLINK("[P Only New retention.xlsx]'Lake P Results'!M209", 2.84)</f>
        <v>2.84</v>
      </c>
      <c r="AX1113" s="29">
        <f>HYPERLINK("[P Only with New retention and Differentiation.xlsx]'Lake P Results'!M209", 2.84)</f>
        <v>2.84</v>
      </c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</row>
    <row r="1114" spans="1:67" x14ac:dyDescent="0.55000000000000004">
      <c r="A1114" s="30">
        <v>546</v>
      </c>
      <c r="B1114" s="6" t="s">
        <v>523</v>
      </c>
      <c r="C1114" s="27">
        <f>HYPERLINK("[P Only Old retention.xlsx]'Lake P Results'!AE210", 0.22)</f>
        <v>0.22</v>
      </c>
      <c r="D1114" s="27">
        <f>HYPERLINK("[P Only New retention.xlsx]'Lake P Results'!AE210", 0.22)</f>
        <v>0.22</v>
      </c>
      <c r="E1114" s="27">
        <f>HYPERLINK("[P Only with New retention and Differentiation.xlsx]'Lake P Results'!AE210", 0.22)</f>
        <v>0.22</v>
      </c>
      <c r="F1114" s="18"/>
      <c r="G1114" s="18"/>
      <c r="H1114" s="26">
        <f>HYPERLINK("[P Only Old retention.xlsx]'Lake P Results'!AM210", 6700)</f>
        <v>6700</v>
      </c>
      <c r="I1114" s="26">
        <f>HYPERLINK("[P Only New retention.xlsx]'Lake P Results'!AM210", 6700)</f>
        <v>6700</v>
      </c>
      <c r="J1114" s="26">
        <f>HYPERLINK("[P Only with New retention and Differentiation.xlsx]'Lake P Results'!AM210", 6700)</f>
        <v>6700</v>
      </c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  <c r="AO1114" s="18"/>
      <c r="AP1114" s="18"/>
      <c r="AQ1114" s="26">
        <f>HYPERLINK("[P Only Old retention.xlsx]'Lake P Results'!AH210", 20)</f>
        <v>20</v>
      </c>
      <c r="AR1114" s="26">
        <f>HYPERLINK("[P Only New retention.xlsx]'Lake P Results'!AH210", 20)</f>
        <v>20</v>
      </c>
      <c r="AS1114" s="26">
        <f>HYPERLINK("[P Only with New retention and Differentiation.xlsx]'Lake P Results'!AH210", 20)</f>
        <v>20</v>
      </c>
      <c r="AT1114" s="18"/>
      <c r="AU1114" s="18"/>
      <c r="AV1114" s="27">
        <f>HYPERLINK("[P Only Old retention.xlsx]'Lake P Results'!M210", 51.33)</f>
        <v>51.33</v>
      </c>
      <c r="AW1114" s="27">
        <f>HYPERLINK("[P Only New retention.xlsx]'Lake P Results'!M210", 51.33)</f>
        <v>51.33</v>
      </c>
      <c r="AX1114" s="27">
        <f>HYPERLINK("[P Only with New retention and Differentiation.xlsx]'Lake P Results'!M210", 51.33)</f>
        <v>51.33</v>
      </c>
      <c r="AY1114" s="18"/>
      <c r="AZ1114" s="18"/>
      <c r="BA1114" s="18"/>
      <c r="BB1114" s="18"/>
      <c r="BC1114" s="18"/>
      <c r="BD1114" s="18"/>
      <c r="BE1114" s="18"/>
      <c r="BF1114" s="18"/>
      <c r="BG1114" s="18"/>
      <c r="BH1114" s="18"/>
      <c r="BI1114" s="18"/>
      <c r="BJ1114" s="18"/>
      <c r="BK1114" s="18"/>
      <c r="BL1114" s="18"/>
      <c r="BM1114" s="18"/>
      <c r="BN1114" s="18"/>
      <c r="BO1114" s="18"/>
    </row>
    <row r="1115" spans="1:67" x14ac:dyDescent="0.55000000000000004">
      <c r="A1115" s="31">
        <v>547</v>
      </c>
      <c r="B1115" s="5" t="s">
        <v>524</v>
      </c>
      <c r="C1115" s="13"/>
      <c r="D1115" s="13"/>
      <c r="E1115" s="13"/>
      <c r="F1115" s="13"/>
      <c r="G1115" s="13"/>
      <c r="H1115" s="28">
        <f>HYPERLINK("[P Only Old retention.xlsx]'Lake P Results'!AM211", 500)</f>
        <v>500</v>
      </c>
      <c r="I1115" s="28">
        <f>HYPERLINK("[P Only New retention.xlsx]'Lake P Results'!AM211", 500)</f>
        <v>500</v>
      </c>
      <c r="J1115" s="28">
        <f>HYPERLINK("[P Only with New retention and Differentiation.xlsx]'Lake P Results'!AM211", 500)</f>
        <v>500</v>
      </c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29">
        <f>HYPERLINK("[P Only Old retention.xlsx]'Lake P Results'!M211", 1.67)</f>
        <v>1.67</v>
      </c>
      <c r="AW1115" s="29">
        <f>HYPERLINK("[P Only New retention.xlsx]'Lake P Results'!M211", 1.67)</f>
        <v>1.67</v>
      </c>
      <c r="AX1115" s="29">
        <f>HYPERLINK("[P Only with New retention and Differentiation.xlsx]'Lake P Results'!M211", 1.67)</f>
        <v>1.67</v>
      </c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</row>
    <row r="1116" spans="1:67" x14ac:dyDescent="0.55000000000000004">
      <c r="A1116" s="30">
        <v>548</v>
      </c>
      <c r="B1116" s="6" t="s">
        <v>525</v>
      </c>
      <c r="C1116" s="18"/>
      <c r="D1116" s="18"/>
      <c r="E1116" s="18"/>
      <c r="F1116" s="18"/>
      <c r="G1116" s="18"/>
      <c r="H1116" s="26">
        <f>HYPERLINK("[P Only Old retention.xlsx]'Lake P Results'!AM212", 3100)</f>
        <v>3100</v>
      </c>
      <c r="I1116" s="26">
        <f>HYPERLINK("[P Only New retention.xlsx]'Lake P Results'!AM212", 3100)</f>
        <v>3100</v>
      </c>
      <c r="J1116" s="26">
        <f>HYPERLINK("[P Only with New retention and Differentiation.xlsx]'Lake P Results'!AM212", 3100)</f>
        <v>3100</v>
      </c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18"/>
      <c r="AQ1116" s="18"/>
      <c r="AR1116" s="18"/>
      <c r="AS1116" s="18"/>
      <c r="AT1116" s="18"/>
      <c r="AU1116" s="18"/>
      <c r="AV1116" s="18"/>
      <c r="AW1116" s="18"/>
      <c r="AX1116" s="18"/>
      <c r="AY1116" s="18"/>
      <c r="AZ1116" s="18"/>
      <c r="BA1116" s="18"/>
      <c r="BB1116" s="18"/>
      <c r="BC1116" s="18"/>
      <c r="BD1116" s="18"/>
      <c r="BE1116" s="18"/>
      <c r="BF1116" s="18"/>
      <c r="BG1116" s="18"/>
      <c r="BH1116" s="18"/>
      <c r="BI1116" s="18"/>
      <c r="BJ1116" s="18"/>
      <c r="BK1116" s="18"/>
      <c r="BL1116" s="18"/>
      <c r="BM1116" s="18"/>
      <c r="BN1116" s="18"/>
      <c r="BO1116" s="18"/>
    </row>
    <row r="1117" spans="1:67" x14ac:dyDescent="0.55000000000000004">
      <c r="A1117" s="31">
        <v>550</v>
      </c>
      <c r="B1117" s="5" t="s">
        <v>526</v>
      </c>
      <c r="C1117" s="29">
        <f>HYPERLINK("[P Only Old retention.xlsx]'Lake P Results'!AE213", 0.19)</f>
        <v>0.19</v>
      </c>
      <c r="D1117" s="29">
        <f>HYPERLINK("[P Only New retention.xlsx]'Lake P Results'!AE213", 0.19)</f>
        <v>0.19</v>
      </c>
      <c r="E1117" s="29">
        <f>HYPERLINK("[P Only with New retention and Differentiation.xlsx]'Lake P Results'!AE213", 0.19)</f>
        <v>0.19</v>
      </c>
      <c r="F1117" s="13"/>
      <c r="G1117" s="13"/>
      <c r="H1117" s="28">
        <f>HYPERLINK("[P Only Old retention.xlsx]'Lake P Results'!AM213", 900)</f>
        <v>900</v>
      </c>
      <c r="I1117" s="28">
        <f>HYPERLINK("[P Only New retention.xlsx]'Lake P Results'!AM213", 900)</f>
        <v>900</v>
      </c>
      <c r="J1117" s="28">
        <f>HYPERLINK("[P Only with New retention and Differentiation.xlsx]'Lake P Results'!AM213", 900)</f>
        <v>900</v>
      </c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29">
        <f>HYPERLINK("[P Only Old retention.xlsx]'Lake P Results'!V213", 2.536)</f>
        <v>2.536</v>
      </c>
      <c r="X1117" s="29">
        <f>HYPERLINK("[P Only New retention.xlsx]'Lake P Results'!V213", 2.536)</f>
        <v>2.536</v>
      </c>
      <c r="Y1117" s="29">
        <f>HYPERLINK("[P Only with New retention and Differentiation.xlsx]'Lake P Results'!V213", 2.536)</f>
        <v>2.536</v>
      </c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28">
        <f>HYPERLINK("[P Only Old retention.xlsx]'Lake P Results'!AH213", 20)</f>
        <v>20</v>
      </c>
      <c r="AR1117" s="28">
        <f>HYPERLINK("[P Only New retention.xlsx]'Lake P Results'!AH213", 20)</f>
        <v>20</v>
      </c>
      <c r="AS1117" s="28">
        <f>HYPERLINK("[P Only with New retention and Differentiation.xlsx]'Lake P Results'!AH213", 20)</f>
        <v>20</v>
      </c>
      <c r="AT1117" s="13"/>
      <c r="AU1117" s="13"/>
      <c r="AV1117" s="13"/>
      <c r="AW1117" s="13"/>
      <c r="AX1117" s="13"/>
      <c r="AY1117" s="13"/>
      <c r="AZ1117" s="13"/>
      <c r="BA1117" s="29">
        <f>HYPERLINK("[P Only Old retention.xlsx]'Lake P Results'!O213", 27.978)</f>
        <v>27.978000000000002</v>
      </c>
      <c r="BB1117" s="29">
        <f>HYPERLINK("[P Only New retention.xlsx]'Lake P Results'!O213", 27.978)</f>
        <v>27.978000000000002</v>
      </c>
      <c r="BC1117" s="29">
        <f>HYPERLINK("[P Only with New retention and Differentiation.xlsx]'Lake P Results'!O213", 27.978)</f>
        <v>27.978000000000002</v>
      </c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</row>
    <row r="1118" spans="1:67" x14ac:dyDescent="0.55000000000000004">
      <c r="A1118" s="30">
        <v>552</v>
      </c>
      <c r="B1118" s="6" t="s">
        <v>527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  <c r="AO1118" s="18"/>
      <c r="AP1118" s="18"/>
      <c r="AQ1118" s="18"/>
      <c r="AR1118" s="18"/>
      <c r="AS1118" s="18"/>
      <c r="AT1118" s="18"/>
      <c r="AU1118" s="18"/>
      <c r="AV1118" s="18"/>
      <c r="AW1118" s="18"/>
      <c r="AX1118" s="18"/>
      <c r="AY1118" s="18"/>
      <c r="AZ1118" s="18"/>
      <c r="BA1118" s="18"/>
      <c r="BB1118" s="18"/>
      <c r="BC1118" s="18"/>
      <c r="BD1118" s="18"/>
      <c r="BE1118" s="18"/>
      <c r="BF1118" s="18"/>
      <c r="BG1118" s="18"/>
      <c r="BH1118" s="18"/>
      <c r="BI1118" s="18"/>
      <c r="BJ1118" s="18"/>
      <c r="BK1118" s="18"/>
      <c r="BL1118" s="18"/>
      <c r="BM1118" s="18"/>
      <c r="BN1118" s="18"/>
      <c r="BO1118" s="18"/>
    </row>
    <row r="1119" spans="1:67" x14ac:dyDescent="0.55000000000000004">
      <c r="A1119" s="31">
        <v>553</v>
      </c>
      <c r="B1119" s="5" t="s">
        <v>528</v>
      </c>
      <c r="C1119" s="13"/>
      <c r="D1119" s="13"/>
      <c r="E1119" s="13"/>
      <c r="F1119" s="13"/>
      <c r="G1119" s="13"/>
      <c r="H1119" s="28">
        <f>HYPERLINK("[P Only Old retention.xlsx]'Lake P Results'!AM215", 40200)</f>
        <v>40200</v>
      </c>
      <c r="I1119" s="28">
        <f>HYPERLINK("[P Only New retention.xlsx]'Lake P Results'!AM215", 40200)</f>
        <v>40200</v>
      </c>
      <c r="J1119" s="28">
        <f>HYPERLINK("[P Only with New retention and Differentiation.xlsx]'Lake P Results'!AM215", 40200)</f>
        <v>40200</v>
      </c>
      <c r="K1119" s="13"/>
      <c r="L1119" s="13"/>
      <c r="M1119" s="29">
        <f>HYPERLINK("[P Only Old retention.xlsx]'Lake P Results'!AC215", 0.928)</f>
        <v>0.92800000000000005</v>
      </c>
      <c r="N1119" s="29">
        <f>HYPERLINK("[P Only New retention.xlsx]'Lake P Results'!AC215", 7.648)</f>
        <v>7.6479999999999997</v>
      </c>
      <c r="O1119" s="29">
        <f>HYPERLINK("[P Only with New retention and Differentiation.xlsx]'Lake P Results'!AC215", 7.328)</f>
        <v>7.3280000000000003</v>
      </c>
      <c r="P1119" s="46">
        <f>N1119-M1119</f>
        <v>6.72</v>
      </c>
      <c r="Q1119" s="46">
        <f>O1119-M1119</f>
        <v>6.4</v>
      </c>
      <c r="R1119" s="29">
        <f>HYPERLINK("[P Only Old retention.xlsx]'Lake P Results'!Y215", 6.72)</f>
        <v>6.72</v>
      </c>
      <c r="S1119" s="13"/>
      <c r="T1119" s="29">
        <f>HYPERLINK("[P Only with New retention and Differentiation.xlsx]'Lake P Results'!Y215", 0.32)</f>
        <v>0.32</v>
      </c>
      <c r="U1119" s="47">
        <f>S1119-R1119</f>
        <v>-6.72</v>
      </c>
      <c r="V1119" s="47">
        <f>T1119-R1119</f>
        <v>-6.3999999999999995</v>
      </c>
      <c r="W1119" s="29">
        <f>HYPERLINK("[P Only Old retention.xlsx]'Lake P Results'!V215", 6.71)</f>
        <v>6.71</v>
      </c>
      <c r="X1119" s="29">
        <f>HYPERLINK("[P Only New retention.xlsx]'Lake P Results'!V215", 6.71)</f>
        <v>6.71</v>
      </c>
      <c r="Y1119" s="29">
        <f>HYPERLINK("[P Only with New retention and Differentiation.xlsx]'Lake P Results'!V215", 6.71)</f>
        <v>6.71</v>
      </c>
      <c r="Z1119" s="13"/>
      <c r="AA1119" s="13"/>
      <c r="AB1119" s="29">
        <f>HYPERLINK("[P Only Old retention.xlsx]'Lake P Results'!Z215", 8.086)</f>
        <v>8.0860000000000003</v>
      </c>
      <c r="AC1119" s="29">
        <f>HYPERLINK("[P Only New retention.xlsx]'Lake P Results'!Z215", 8.086)</f>
        <v>8.0860000000000003</v>
      </c>
      <c r="AD1119" s="29">
        <f>HYPERLINK("[P Only with New retention and Differentiation.xlsx]'Lake P Results'!Z215", 8.086)</f>
        <v>8.0860000000000003</v>
      </c>
      <c r="AE1119" s="13"/>
      <c r="AF1119" s="13"/>
      <c r="AG1119" s="29">
        <f>HYPERLINK("[P Only Old retention.xlsx]'Lake P Results'!AA215", 1.818)</f>
        <v>1.8180000000000001</v>
      </c>
      <c r="AH1119" s="29">
        <f>HYPERLINK("[P Only New retention.xlsx]'Lake P Results'!AA215", 1.818)</f>
        <v>1.8180000000000001</v>
      </c>
      <c r="AI1119" s="29">
        <f>HYPERLINK("[P Only with New retention and Differentiation.xlsx]'Lake P Results'!AA215", 1.818)</f>
        <v>1.8180000000000001</v>
      </c>
      <c r="AJ1119" s="13"/>
      <c r="AK1119" s="13"/>
      <c r="AL1119" s="29">
        <f>HYPERLINK("[P Only Old retention.xlsx]'Lake P Results'!AF215", 0.15)</f>
        <v>0.15</v>
      </c>
      <c r="AM1119" s="29">
        <f>HYPERLINK("[P Only New retention.xlsx]'Lake P Results'!AF215", 0.15)</f>
        <v>0.15</v>
      </c>
      <c r="AN1119" s="29">
        <f>HYPERLINK("[P Only with New retention and Differentiation.xlsx]'Lake P Results'!AF215", 0.15)</f>
        <v>0.15</v>
      </c>
      <c r="AO1119" s="13"/>
      <c r="AP1119" s="13"/>
      <c r="AQ1119" s="28">
        <f>HYPERLINK("[P Only Old retention.xlsx]'Lake P Results'!AH215", 410)</f>
        <v>410</v>
      </c>
      <c r="AR1119" s="28">
        <f>HYPERLINK("[P Only New retention.xlsx]'Lake P Results'!AH215", 410)</f>
        <v>410</v>
      </c>
      <c r="AS1119" s="28">
        <f>HYPERLINK("[P Only with New retention and Differentiation.xlsx]'Lake P Results'!AH215", 410)</f>
        <v>410</v>
      </c>
      <c r="AT1119" s="13"/>
      <c r="AU1119" s="13"/>
      <c r="AV1119" s="29">
        <f>HYPERLINK("[P Only Old retention.xlsx]'Lake P Results'!M215", 236.19)</f>
        <v>236.19</v>
      </c>
      <c r="AW1119" s="29">
        <f>HYPERLINK("[P Only New retention.xlsx]'Lake P Results'!M215", 236.19)</f>
        <v>236.19</v>
      </c>
      <c r="AX1119" s="29">
        <f>HYPERLINK("[P Only with New retention and Differentiation.xlsx]'Lake P Results'!M215", 236.19)</f>
        <v>236.19</v>
      </c>
      <c r="AY1119" s="13"/>
      <c r="AZ1119" s="13"/>
      <c r="BA1119" s="29">
        <f>HYPERLINK("[P Only Old retention.xlsx]'Lake P Results'!O215", 63.798)</f>
        <v>63.798000000000002</v>
      </c>
      <c r="BB1119" s="29">
        <f>HYPERLINK("[P Only New retention.xlsx]'Lake P Results'!O215", 63.798)</f>
        <v>63.798000000000002</v>
      </c>
      <c r="BC1119" s="29">
        <f>HYPERLINK("[P Only with New retention and Differentiation.xlsx]'Lake P Results'!O215", 63.798)</f>
        <v>63.798000000000002</v>
      </c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</row>
    <row r="1120" spans="1:67" x14ac:dyDescent="0.55000000000000004">
      <c r="A1120" s="30">
        <v>555</v>
      </c>
      <c r="B1120" s="6" t="s">
        <v>529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  <c r="AO1120" s="18"/>
      <c r="AP1120" s="18"/>
      <c r="AQ1120" s="18"/>
      <c r="AR1120" s="18"/>
      <c r="AS1120" s="18"/>
      <c r="AT1120" s="18"/>
      <c r="AU1120" s="18"/>
      <c r="AV1120" s="18"/>
      <c r="AW1120" s="18"/>
      <c r="AX1120" s="18"/>
      <c r="AY1120" s="18"/>
      <c r="AZ1120" s="18"/>
      <c r="BA1120" s="18"/>
      <c r="BB1120" s="18"/>
      <c r="BC1120" s="18"/>
      <c r="BD1120" s="18"/>
      <c r="BE1120" s="18"/>
      <c r="BF1120" s="18"/>
      <c r="BG1120" s="18"/>
      <c r="BH1120" s="18"/>
      <c r="BI1120" s="18"/>
      <c r="BJ1120" s="18"/>
      <c r="BK1120" s="18"/>
      <c r="BL1120" s="18"/>
      <c r="BM1120" s="18"/>
      <c r="BN1120" s="18"/>
      <c r="BO1120" s="18"/>
    </row>
    <row r="1121" spans="1:67" x14ac:dyDescent="0.55000000000000004">
      <c r="A1121" s="31">
        <v>556</v>
      </c>
      <c r="B1121" s="5" t="s">
        <v>530</v>
      </c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</row>
    <row r="1122" spans="1:67" x14ac:dyDescent="0.55000000000000004">
      <c r="A1122" s="30">
        <v>558</v>
      </c>
      <c r="B1122" s="6" t="s">
        <v>531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/>
      <c r="AT1122" s="18"/>
      <c r="AU1122" s="18"/>
      <c r="AV1122" s="18"/>
      <c r="AW1122" s="18"/>
      <c r="AX1122" s="18"/>
      <c r="AY1122" s="18"/>
      <c r="AZ1122" s="18"/>
      <c r="BA1122" s="18"/>
      <c r="BB1122" s="18"/>
      <c r="BC1122" s="18"/>
      <c r="BD1122" s="18"/>
      <c r="BE1122" s="18"/>
      <c r="BF1122" s="18"/>
      <c r="BG1122" s="18"/>
      <c r="BH1122" s="18"/>
      <c r="BI1122" s="18"/>
      <c r="BJ1122" s="18"/>
      <c r="BK1122" s="18"/>
      <c r="BL1122" s="18"/>
      <c r="BM1122" s="18"/>
      <c r="BN1122" s="18"/>
      <c r="BO1122" s="18"/>
    </row>
    <row r="1123" spans="1:67" x14ac:dyDescent="0.55000000000000004">
      <c r="A1123" s="31">
        <v>564</v>
      </c>
      <c r="B1123" s="5" t="s">
        <v>532</v>
      </c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</row>
    <row r="1124" spans="1:67" x14ac:dyDescent="0.55000000000000004">
      <c r="A1124" s="30">
        <v>567</v>
      </c>
      <c r="B1124" s="6" t="s">
        <v>533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  <c r="AO1124" s="18"/>
      <c r="AP1124" s="18"/>
      <c r="AQ1124" s="18"/>
      <c r="AR1124" s="18"/>
      <c r="AS1124" s="18"/>
      <c r="AT1124" s="18"/>
      <c r="AU1124" s="18"/>
      <c r="AV1124" s="18"/>
      <c r="AW1124" s="18"/>
      <c r="AX1124" s="18"/>
      <c r="AY1124" s="18"/>
      <c r="AZ1124" s="18"/>
      <c r="BA1124" s="18"/>
      <c r="BB1124" s="18"/>
      <c r="BC1124" s="18"/>
      <c r="BD1124" s="18"/>
      <c r="BE1124" s="18"/>
      <c r="BF1124" s="18"/>
      <c r="BG1124" s="18"/>
      <c r="BH1124" s="18"/>
      <c r="BI1124" s="18"/>
      <c r="BJ1124" s="18"/>
      <c r="BK1124" s="18"/>
      <c r="BL1124" s="18"/>
      <c r="BM1124" s="18"/>
      <c r="BN1124" s="18"/>
      <c r="BO1124" s="18"/>
    </row>
    <row r="1125" spans="1:67" x14ac:dyDescent="0.55000000000000004">
      <c r="A1125" s="31">
        <v>568</v>
      </c>
      <c r="B1125" s="5" t="s">
        <v>534</v>
      </c>
      <c r="C1125" s="13"/>
      <c r="D1125" s="13"/>
      <c r="E1125" s="13"/>
      <c r="F1125" s="13"/>
      <c r="G1125" s="13"/>
      <c r="H1125" s="28">
        <f>HYPERLINK("[P Only Old retention.xlsx]'Lake P Results'!AM221", 100)</f>
        <v>100</v>
      </c>
      <c r="I1125" s="28">
        <f>HYPERLINK("[P Only New retention.xlsx]'Lake P Results'!AM221", 100)</f>
        <v>100</v>
      </c>
      <c r="J1125" s="28">
        <f>HYPERLINK("[P Only with New retention and Differentiation.xlsx]'Lake P Results'!AM221", 100)</f>
        <v>100</v>
      </c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</row>
    <row r="1126" spans="1:67" x14ac:dyDescent="0.55000000000000004">
      <c r="A1126" s="30">
        <v>569</v>
      </c>
      <c r="B1126" s="6" t="s">
        <v>535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27">
        <f>HYPERLINK("[P Only Old retention.xlsx]'Lake P Results'!V222", 43.47)</f>
        <v>43.47</v>
      </c>
      <c r="X1126" s="27">
        <f>HYPERLINK("[P Only New retention.xlsx]'Lake P Results'!V222", 43.47)</f>
        <v>43.47</v>
      </c>
      <c r="Y1126" s="27">
        <f>HYPERLINK("[P Only with New retention and Differentiation.xlsx]'Lake P Results'!V222", 43.47)</f>
        <v>43.47</v>
      </c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  <c r="AO1126" s="18"/>
      <c r="AP1126" s="18"/>
      <c r="AQ1126" s="18"/>
      <c r="AR1126" s="18"/>
      <c r="AS1126" s="18"/>
      <c r="AT1126" s="18"/>
      <c r="AU1126" s="18"/>
      <c r="AV1126" s="18"/>
      <c r="AW1126" s="18"/>
      <c r="AX1126" s="18"/>
      <c r="AY1126" s="18"/>
      <c r="AZ1126" s="18"/>
      <c r="BA1126" s="18"/>
      <c r="BB1126" s="18"/>
      <c r="BC1126" s="18"/>
      <c r="BD1126" s="18"/>
      <c r="BE1126" s="18"/>
      <c r="BF1126" s="18"/>
      <c r="BG1126" s="18"/>
      <c r="BH1126" s="18"/>
      <c r="BI1126" s="18"/>
      <c r="BJ1126" s="18"/>
      <c r="BK1126" s="18"/>
      <c r="BL1126" s="18"/>
      <c r="BM1126" s="18"/>
      <c r="BN1126" s="18"/>
      <c r="BO1126" s="18"/>
    </row>
    <row r="1127" spans="1:67" x14ac:dyDescent="0.55000000000000004">
      <c r="A1127" s="31">
        <v>570</v>
      </c>
      <c r="B1127" s="5" t="s">
        <v>536</v>
      </c>
      <c r="C1127" s="29">
        <f>HYPERLINK("[P Only Old retention.xlsx]'Lake P Results'!AE223", 0.19)</f>
        <v>0.19</v>
      </c>
      <c r="D1127" s="29">
        <f>HYPERLINK("[P Only New retention.xlsx]'Lake P Results'!AE223", 0.19)</f>
        <v>0.19</v>
      </c>
      <c r="E1127" s="29">
        <f>HYPERLINK("[P Only with New retention and Differentiation.xlsx]'Lake P Results'!AE223", 0.19)</f>
        <v>0.19</v>
      </c>
      <c r="F1127" s="13"/>
      <c r="G1127" s="13"/>
      <c r="H1127" s="28">
        <f>HYPERLINK("[P Only Old retention.xlsx]'Lake P Results'!AM223", 1300)</f>
        <v>1300</v>
      </c>
      <c r="I1127" s="28">
        <f>HYPERLINK("[P Only New retention.xlsx]'Lake P Results'!AM223", 1100)</f>
        <v>1100</v>
      </c>
      <c r="J1127" s="28">
        <f>HYPERLINK("[P Only with New retention and Differentiation.xlsx]'Lake P Results'!AM223", 1100)</f>
        <v>1100</v>
      </c>
      <c r="K1127" s="21">
        <f>I1127-H1127</f>
        <v>-200</v>
      </c>
      <c r="L1127" s="21">
        <f>J1127-H1127</f>
        <v>-200</v>
      </c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29">
        <f>HYPERLINK("[P Only Old retention.xlsx]'Lake P Results'!AA223", 4.19)</f>
        <v>4.1900000000000004</v>
      </c>
      <c r="AH1127" s="29">
        <f>HYPERLINK("[P Only New retention.xlsx]'Lake P Results'!AA223", 4.19)</f>
        <v>4.1900000000000004</v>
      </c>
      <c r="AI1127" s="29">
        <f>HYPERLINK("[P Only with New retention and Differentiation.xlsx]'Lake P Results'!AA223", 4.19)</f>
        <v>4.1900000000000004</v>
      </c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</row>
    <row r="1128" spans="1:67" x14ac:dyDescent="0.55000000000000004">
      <c r="A1128" s="30">
        <v>574</v>
      </c>
      <c r="B1128" s="6" t="s">
        <v>537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  <c r="AO1128" s="18"/>
      <c r="AP1128" s="18"/>
      <c r="AQ1128" s="18"/>
      <c r="AR1128" s="18"/>
      <c r="AS1128" s="18"/>
      <c r="AT1128" s="18"/>
      <c r="AU1128" s="18"/>
      <c r="AV1128" s="18"/>
      <c r="AW1128" s="18"/>
      <c r="AX1128" s="18"/>
      <c r="AY1128" s="18"/>
      <c r="AZ1128" s="18"/>
      <c r="BA1128" s="18"/>
      <c r="BB1128" s="18"/>
      <c r="BC1128" s="18"/>
      <c r="BD1128" s="18"/>
      <c r="BE1128" s="18"/>
      <c r="BF1128" s="18"/>
      <c r="BG1128" s="18"/>
      <c r="BH1128" s="18"/>
      <c r="BI1128" s="18"/>
      <c r="BJ1128" s="18"/>
      <c r="BK1128" s="18"/>
      <c r="BL1128" s="18"/>
      <c r="BM1128" s="18"/>
      <c r="BN1128" s="18"/>
      <c r="BO1128" s="18"/>
    </row>
    <row r="1129" spans="1:67" x14ac:dyDescent="0.55000000000000004">
      <c r="A1129" s="31">
        <v>576</v>
      </c>
      <c r="B1129" s="5" t="s">
        <v>538</v>
      </c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</row>
    <row r="1130" spans="1:67" x14ac:dyDescent="0.55000000000000004">
      <c r="A1130" s="30">
        <v>577</v>
      </c>
      <c r="B1130" s="6" t="s">
        <v>539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  <c r="AO1130" s="18"/>
      <c r="AP1130" s="18"/>
      <c r="AQ1130" s="18"/>
      <c r="AR1130" s="18"/>
      <c r="AS1130" s="18"/>
      <c r="AT1130" s="18"/>
      <c r="AU1130" s="18"/>
      <c r="AV1130" s="18"/>
      <c r="AW1130" s="18"/>
      <c r="AX1130" s="18"/>
      <c r="AY1130" s="18"/>
      <c r="AZ1130" s="18"/>
      <c r="BA1130" s="18"/>
      <c r="BB1130" s="18"/>
      <c r="BC1130" s="18"/>
      <c r="BD1130" s="18"/>
      <c r="BE1130" s="18"/>
      <c r="BF1130" s="18"/>
      <c r="BG1130" s="18"/>
      <c r="BH1130" s="18"/>
      <c r="BI1130" s="18"/>
      <c r="BJ1130" s="18"/>
      <c r="BK1130" s="18"/>
      <c r="BL1130" s="18"/>
      <c r="BM1130" s="18"/>
      <c r="BN1130" s="18"/>
      <c r="BO1130" s="18"/>
    </row>
    <row r="1131" spans="1:67" x14ac:dyDescent="0.55000000000000004">
      <c r="A1131" s="31">
        <v>578</v>
      </c>
      <c r="B1131" s="5" t="s">
        <v>540</v>
      </c>
      <c r="C1131" s="29">
        <f>HYPERLINK("[P Only Old retention.xlsx]'Lake P Results'!AE227", 0.949999999999998)</f>
        <v>0.94999999999999796</v>
      </c>
      <c r="D1131" s="29">
        <f>HYPERLINK("[P Only New retention.xlsx]'Lake P Results'!AE227", 0.949999999999998)</f>
        <v>0.94999999999999796</v>
      </c>
      <c r="E1131" s="29">
        <f>HYPERLINK("[P Only with New retention and Differentiation.xlsx]'Lake P Results'!AE227", 0.949999999999998)</f>
        <v>0.94999999999999796</v>
      </c>
      <c r="F1131" s="13"/>
      <c r="G1131" s="13"/>
      <c r="H1131" s="28">
        <f>HYPERLINK("[P Only Old retention.xlsx]'Lake P Results'!AM227", 2100)</f>
        <v>2100</v>
      </c>
      <c r="I1131" s="28">
        <f>HYPERLINK("[P Only New retention.xlsx]'Lake P Results'!AM227", 2300)</f>
        <v>2300</v>
      </c>
      <c r="J1131" s="28">
        <f>HYPERLINK("[P Only with New retention and Differentiation.xlsx]'Lake P Results'!AM227", 2000)</f>
        <v>2000</v>
      </c>
      <c r="K1131" s="16">
        <f>I1131-H1131</f>
        <v>200</v>
      </c>
      <c r="L1131" s="21">
        <f>J1131-H1131</f>
        <v>-100</v>
      </c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</row>
    <row r="1132" spans="1:67" x14ac:dyDescent="0.55000000000000004">
      <c r="A1132" s="30">
        <v>579</v>
      </c>
      <c r="B1132" s="6" t="s">
        <v>541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  <c r="AO1132" s="18"/>
      <c r="AP1132" s="18"/>
      <c r="AQ1132" s="18"/>
      <c r="AR1132" s="18"/>
      <c r="AS1132" s="18"/>
      <c r="AT1132" s="18"/>
      <c r="AU1132" s="18"/>
      <c r="AV1132" s="18"/>
      <c r="AW1132" s="18"/>
      <c r="AX1132" s="18"/>
      <c r="AY1132" s="18"/>
      <c r="AZ1132" s="18"/>
      <c r="BA1132" s="18"/>
      <c r="BB1132" s="18"/>
      <c r="BC1132" s="18"/>
      <c r="BD1132" s="18"/>
      <c r="BE1132" s="18"/>
      <c r="BF1132" s="18"/>
      <c r="BG1132" s="18"/>
      <c r="BH1132" s="18"/>
      <c r="BI1132" s="18"/>
      <c r="BJ1132" s="18"/>
      <c r="BK1132" s="18"/>
      <c r="BL1132" s="18"/>
      <c r="BM1132" s="18"/>
      <c r="BN1132" s="18"/>
      <c r="BO1132" s="18"/>
    </row>
    <row r="1133" spans="1:67" x14ac:dyDescent="0.55000000000000004">
      <c r="A1133" s="31">
        <v>582</v>
      </c>
      <c r="B1133" s="5" t="s">
        <v>542</v>
      </c>
      <c r="C1133" s="13"/>
      <c r="D1133" s="13"/>
      <c r="E1133" s="13"/>
      <c r="F1133" s="13"/>
      <c r="G1133" s="13"/>
      <c r="H1133" s="28">
        <f>HYPERLINK("[P Only Old retention.xlsx]'Lake P Results'!AM229", 9400)</f>
        <v>9400</v>
      </c>
      <c r="I1133" s="28">
        <f>HYPERLINK("[P Only New retention.xlsx]'Lake P Results'!AM229", 9400)</f>
        <v>9400</v>
      </c>
      <c r="J1133" s="28">
        <f>HYPERLINK("[P Only with New retention and Differentiation.xlsx]'Lake P Results'!AM229", 9400)</f>
        <v>9400</v>
      </c>
      <c r="K1133" s="13"/>
      <c r="L1133" s="13"/>
      <c r="M1133" s="29">
        <f>HYPERLINK("[P Only Old retention.xlsx]'Lake P Results'!AC229", 44.474)</f>
        <v>44.473999999999997</v>
      </c>
      <c r="N1133" s="29">
        <f>HYPERLINK("[P Only New retention.xlsx]'Lake P Results'!AC229", 43.824)</f>
        <v>43.823999999999998</v>
      </c>
      <c r="O1133" s="29">
        <f>HYPERLINK("[P Only with New retention and Differentiation.xlsx]'Lake P Results'!AC229", 47.194)</f>
        <v>47.194000000000003</v>
      </c>
      <c r="P1133" s="47">
        <f>N1133-M1133</f>
        <v>-0.64999999999999858</v>
      </c>
      <c r="Q1133" s="46">
        <f>O1133-M1133</f>
        <v>2.720000000000006</v>
      </c>
      <c r="R1133" s="29">
        <f>HYPERLINK("[P Only Old retention.xlsx]'Lake P Results'!Y229", 3)</f>
        <v>3</v>
      </c>
      <c r="S1133" s="29">
        <f>HYPERLINK("[P Only New retention.xlsx]'Lake P Results'!Y229", 5.17)</f>
        <v>5.17</v>
      </c>
      <c r="T1133" s="13"/>
      <c r="U1133" s="46">
        <f>S1133-R1133</f>
        <v>2.17</v>
      </c>
      <c r="V1133" s="47">
        <f>T1133-R1133</f>
        <v>-3</v>
      </c>
      <c r="W1133" s="13"/>
      <c r="X1133" s="13"/>
      <c r="Y1133" s="13"/>
      <c r="Z1133" s="13"/>
      <c r="AA1133" s="13"/>
      <c r="AB1133" s="29">
        <f>HYPERLINK("[P Only Old retention.xlsx]'Lake P Results'!Z229", 5.75)</f>
        <v>5.75</v>
      </c>
      <c r="AC1133" s="29">
        <f>HYPERLINK("[P Only New retention.xlsx]'Lake P Results'!Z229", 4.23)</f>
        <v>4.2300000000000004</v>
      </c>
      <c r="AD1133" s="29">
        <f>HYPERLINK("[P Only with New retention and Differentiation.xlsx]'Lake P Results'!Z229", 6.03)</f>
        <v>6.03</v>
      </c>
      <c r="AE1133" s="47">
        <f>AC1133-AB1133</f>
        <v>-1.5199999999999996</v>
      </c>
      <c r="AF1133" s="46">
        <f>AD1133-AB1133</f>
        <v>0.28000000000000025</v>
      </c>
      <c r="AG1133" s="29">
        <f>HYPERLINK("[P Only Old retention.xlsx]'Lake P Results'!AA229", 23.484)</f>
        <v>23.484000000000002</v>
      </c>
      <c r="AH1133" s="29">
        <f>HYPERLINK("[P Only New retention.xlsx]'Lake P Results'!AA229", 23.484)</f>
        <v>23.484000000000002</v>
      </c>
      <c r="AI1133" s="29">
        <f>HYPERLINK("[P Only with New retention and Differentiation.xlsx]'Lake P Results'!AA229", 23.484)</f>
        <v>23.484000000000002</v>
      </c>
      <c r="AJ1133" s="13"/>
      <c r="AK1133" s="13"/>
      <c r="AL1133" s="13"/>
      <c r="AM1133" s="13"/>
      <c r="AN1133" s="13"/>
      <c r="AO1133" s="13"/>
      <c r="AP1133" s="13"/>
      <c r="AQ1133" s="28">
        <f>HYPERLINK("[P Only Old retention.xlsx]'Lake P Results'!AH229", 100)</f>
        <v>100</v>
      </c>
      <c r="AR1133" s="28">
        <f>HYPERLINK("[P Only New retention.xlsx]'Lake P Results'!AH229", 100)</f>
        <v>100</v>
      </c>
      <c r="AS1133" s="28">
        <f>HYPERLINK("[P Only with New retention and Differentiation.xlsx]'Lake P Results'!AH229", 100)</f>
        <v>100</v>
      </c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</row>
    <row r="1134" spans="1:67" x14ac:dyDescent="0.55000000000000004">
      <c r="A1134" s="30">
        <v>583</v>
      </c>
      <c r="B1134" s="6" t="s">
        <v>543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  <c r="AV1134" s="18"/>
      <c r="AW1134" s="18"/>
      <c r="AX1134" s="18"/>
      <c r="AY1134" s="18"/>
      <c r="AZ1134" s="18"/>
      <c r="BA1134" s="18"/>
      <c r="BB1134" s="18"/>
      <c r="BC1134" s="18"/>
      <c r="BD1134" s="18"/>
      <c r="BE1134" s="18"/>
      <c r="BF1134" s="18"/>
      <c r="BG1134" s="18"/>
      <c r="BH1134" s="18"/>
      <c r="BI1134" s="18"/>
      <c r="BJ1134" s="18"/>
      <c r="BK1134" s="18"/>
      <c r="BL1134" s="18"/>
      <c r="BM1134" s="18"/>
      <c r="BN1134" s="18"/>
      <c r="BO1134" s="18"/>
    </row>
    <row r="1135" spans="1:67" x14ac:dyDescent="0.55000000000000004">
      <c r="A1135" s="31">
        <v>584</v>
      </c>
      <c r="B1135" s="5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</row>
    <row r="1136" spans="1:67" x14ac:dyDescent="0.55000000000000004">
      <c r="A1136" s="30">
        <v>586</v>
      </c>
      <c r="B1136" s="6" t="s">
        <v>544</v>
      </c>
      <c r="C1136" s="18"/>
      <c r="D1136" s="18"/>
      <c r="E1136" s="18"/>
      <c r="F1136" s="18"/>
      <c r="G1136" s="18"/>
      <c r="H1136" s="26">
        <f>HYPERLINK("[P Only Old retention.xlsx]'Lake P Results'!AM232", 7900)</f>
        <v>7900</v>
      </c>
      <c r="I1136" s="26">
        <f>HYPERLINK("[P Only New retention.xlsx]'Lake P Results'!AM232", 8000)</f>
        <v>8000</v>
      </c>
      <c r="J1136" s="26">
        <f>HYPERLINK("[P Only with New retention and Differentiation.xlsx]'Lake P Results'!AM232", 8000)</f>
        <v>8000</v>
      </c>
      <c r="K1136" s="16">
        <f>I1136-H1136</f>
        <v>100</v>
      </c>
      <c r="L1136" s="16">
        <f>J1136-H1136</f>
        <v>100</v>
      </c>
      <c r="M1136" s="27">
        <f>HYPERLINK("[P Only Old retention.xlsx]'Lake P Results'!AC232", 599.678)</f>
        <v>599.678</v>
      </c>
      <c r="N1136" s="27">
        <f>HYPERLINK("[P Only New retention.xlsx]'Lake P Results'!AC232", 574.704)</f>
        <v>574.70399999999995</v>
      </c>
      <c r="O1136" s="27">
        <f>HYPERLINK("[P Only with New retention and Differentiation.xlsx]'Lake P Results'!AC232", 607.786)</f>
        <v>607.78599999999994</v>
      </c>
      <c r="P1136" s="47">
        <f>N1136-M1136</f>
        <v>-24.974000000000046</v>
      </c>
      <c r="Q1136" s="46">
        <f>O1136-M1136</f>
        <v>8.1079999999999472</v>
      </c>
      <c r="R1136" s="27">
        <f>HYPERLINK("[P Only Old retention.xlsx]'Lake P Results'!Y232", 50.958)</f>
        <v>50.957999999999998</v>
      </c>
      <c r="S1136" s="27">
        <f>HYPERLINK("[P Only New retention.xlsx]'Lake P Results'!Y232", 76.654)</f>
        <v>76.653999999999996</v>
      </c>
      <c r="T1136" s="27">
        <f>HYPERLINK("[P Only with New retention and Differentiation.xlsx]'Lake P Results'!Y232", 34.642)</f>
        <v>34.642000000000003</v>
      </c>
      <c r="U1136" s="46">
        <f>S1136-R1136</f>
        <v>25.695999999999998</v>
      </c>
      <c r="V1136" s="47">
        <f>T1136-R1136</f>
        <v>-16.315999999999995</v>
      </c>
      <c r="W1136" s="27">
        <f>HYPERLINK("[P Only Old retention.xlsx]'Lake P Results'!V232", 0.12)</f>
        <v>0.12</v>
      </c>
      <c r="X1136" s="27">
        <f>HYPERLINK("[P Only New retention.xlsx]'Lake P Results'!V232", 0.85)</f>
        <v>0.85</v>
      </c>
      <c r="Y1136" s="27">
        <f>HYPERLINK("[P Only with New retention and Differentiation.xlsx]'Lake P Results'!V232", 0.85)</f>
        <v>0.85</v>
      </c>
      <c r="Z1136" s="46">
        <f>X1136-W1136</f>
        <v>0.73</v>
      </c>
      <c r="AA1136" s="46">
        <f>Y1136-W1136</f>
        <v>0.73</v>
      </c>
      <c r="AB1136" s="27">
        <f>HYPERLINK("[P Only Old retention.xlsx]'Lake P Results'!Z232", 55.462)</f>
        <v>55.462000000000003</v>
      </c>
      <c r="AC1136" s="27">
        <f>HYPERLINK("[P Only New retention.xlsx]'Lake P Results'!Z232", 54.01)</f>
        <v>54.01</v>
      </c>
      <c r="AD1136" s="27">
        <f>HYPERLINK("[P Only with New retention and Differentiation.xlsx]'Lake P Results'!Z232", 62.94)</f>
        <v>62.94</v>
      </c>
      <c r="AE1136" s="47">
        <f>AC1136-AB1136</f>
        <v>-1.4520000000000053</v>
      </c>
      <c r="AF1136" s="46">
        <f>AD1136-AB1136</f>
        <v>7.4779999999999944</v>
      </c>
      <c r="AG1136" s="27">
        <f>HYPERLINK("[P Only Old retention.xlsx]'Lake P Results'!AA232", 20.062)</f>
        <v>20.062000000000001</v>
      </c>
      <c r="AH1136" s="27">
        <f>HYPERLINK("[P Only New retention.xlsx]'Lake P Results'!AA232", 20.062)</f>
        <v>20.062000000000001</v>
      </c>
      <c r="AI1136" s="27">
        <f>HYPERLINK("[P Only with New retention and Differentiation.xlsx]'Lake P Results'!AA232", 20.062)</f>
        <v>20.062000000000001</v>
      </c>
      <c r="AJ1136" s="18"/>
      <c r="AK1136" s="18"/>
      <c r="AL1136" s="27">
        <f>HYPERLINK("[P Only Old retention.xlsx]'Lake P Results'!AF232", 0.32)</f>
        <v>0.32</v>
      </c>
      <c r="AM1136" s="27">
        <f>HYPERLINK("[P Only New retention.xlsx]'Lake P Results'!AF232", 0.32)</f>
        <v>0.32</v>
      </c>
      <c r="AN1136" s="27">
        <f>HYPERLINK("[P Only with New retention and Differentiation.xlsx]'Lake P Results'!AF232", 0.32)</f>
        <v>0.32</v>
      </c>
      <c r="AO1136" s="18"/>
      <c r="AP1136" s="18"/>
      <c r="AQ1136" s="26">
        <f>HYPERLINK("[P Only Old retention.xlsx]'Lake P Results'!AH232", 100)</f>
        <v>100</v>
      </c>
      <c r="AR1136" s="26">
        <f>HYPERLINK("[P Only New retention.xlsx]'Lake P Results'!AH232", 100)</f>
        <v>100</v>
      </c>
      <c r="AS1136" s="26">
        <f>HYPERLINK("[P Only with New retention and Differentiation.xlsx]'Lake P Results'!AH232", 100)</f>
        <v>100</v>
      </c>
      <c r="AT1136" s="18"/>
      <c r="AU1136" s="18"/>
      <c r="AV1136" s="27">
        <f>HYPERLINK("[P Only Old retention.xlsx]'Lake P Results'!M232", 18.95)</f>
        <v>18.95</v>
      </c>
      <c r="AW1136" s="27">
        <f>HYPERLINK("[P Only New retention.xlsx]'Lake P Results'!M232", 18.95)</f>
        <v>18.95</v>
      </c>
      <c r="AX1136" s="27">
        <f>HYPERLINK("[P Only with New retention and Differentiation.xlsx]'Lake P Results'!M232", 18.95)</f>
        <v>18.95</v>
      </c>
      <c r="AY1136" s="18"/>
      <c r="AZ1136" s="18"/>
      <c r="BA1136" s="27">
        <f>HYPERLINK("[P Only Old retention.xlsx]'Lake P Results'!O232", 0.062)</f>
        <v>6.2E-2</v>
      </c>
      <c r="BB1136" s="27">
        <f>HYPERLINK("[P Only New retention.xlsx]'Lake P Results'!O232", 0.062)</f>
        <v>6.2E-2</v>
      </c>
      <c r="BC1136" s="27">
        <f>HYPERLINK("[P Only with New retention and Differentiation.xlsx]'Lake P Results'!O232", 0.062)</f>
        <v>6.2E-2</v>
      </c>
      <c r="BD1136" s="18"/>
      <c r="BE1136" s="18"/>
      <c r="BF1136" s="18"/>
      <c r="BG1136" s="18"/>
      <c r="BH1136" s="18"/>
      <c r="BI1136" s="18"/>
      <c r="BJ1136" s="18"/>
      <c r="BK1136" s="18"/>
      <c r="BL1136" s="18"/>
      <c r="BM1136" s="18"/>
      <c r="BN1136" s="18"/>
      <c r="BO1136" s="18"/>
    </row>
    <row r="1137" spans="1:67" x14ac:dyDescent="0.55000000000000004">
      <c r="A1137" s="31">
        <v>587</v>
      </c>
      <c r="B1137" s="5" t="s">
        <v>545</v>
      </c>
      <c r="C1137" s="29">
        <f>HYPERLINK("[P Only Old retention.xlsx]'Lake P Results'!AE233", 8.22)</f>
        <v>8.2200000000000006</v>
      </c>
      <c r="D1137" s="29">
        <f>HYPERLINK("[P Only New retention.xlsx]'Lake P Results'!AE233", 8.22)</f>
        <v>8.2200000000000006</v>
      </c>
      <c r="E1137" s="29">
        <f>HYPERLINK("[P Only with New retention and Differentiation.xlsx]'Lake P Results'!AE233", 8.22)</f>
        <v>8.2200000000000006</v>
      </c>
      <c r="F1137" s="13"/>
      <c r="G1137" s="13"/>
      <c r="H1137" s="28">
        <f>HYPERLINK("[P Only Old retention.xlsx]'Lake P Results'!AM233", 13300)</f>
        <v>13300</v>
      </c>
      <c r="I1137" s="28">
        <f>HYPERLINK("[P Only New retention.xlsx]'Lake P Results'!AM233", 12800)</f>
        <v>12800</v>
      </c>
      <c r="J1137" s="28">
        <f>HYPERLINK("[P Only with New retention and Differentiation.xlsx]'Lake P Results'!AM233", 12800)</f>
        <v>12800</v>
      </c>
      <c r="K1137" s="21">
        <f>I1137-H1137</f>
        <v>-500</v>
      </c>
      <c r="L1137" s="21">
        <f>J1137-H1137</f>
        <v>-500</v>
      </c>
      <c r="M1137" s="29">
        <f>HYPERLINK("[P Only Old retention.xlsx]'Lake P Results'!AC233", 1293.236)</f>
        <v>1293.2360000000001</v>
      </c>
      <c r="N1137" s="29">
        <f>HYPERLINK("[P Only New retention.xlsx]'Lake P Results'!AC233", 1313.194)</f>
        <v>1313.194</v>
      </c>
      <c r="O1137" s="29">
        <f>HYPERLINK("[P Only with New retention and Differentiation.xlsx]'Lake P Results'!AC233", 1280.248)</f>
        <v>1280.248</v>
      </c>
      <c r="P1137" s="46">
        <f>N1137-M1137</f>
        <v>19.957999999999856</v>
      </c>
      <c r="Q1137" s="47">
        <f>O1137-M1137</f>
        <v>-12.988000000000056</v>
      </c>
      <c r="R1137" s="29">
        <f>HYPERLINK("[P Only Old retention.xlsx]'Lake P Results'!Y233", 683.186)</f>
        <v>683.18600000000004</v>
      </c>
      <c r="S1137" s="29">
        <f>HYPERLINK("[P Only New retention.xlsx]'Lake P Results'!Y233", 733.078)</f>
        <v>733.07799999999997</v>
      </c>
      <c r="T1137" s="29">
        <f>HYPERLINK("[P Only with New retention and Differentiation.xlsx]'Lake P Results'!Y233", 763.698)</f>
        <v>763.69799999999998</v>
      </c>
      <c r="U1137" s="46">
        <f>S1137-R1137</f>
        <v>49.891999999999939</v>
      </c>
      <c r="V1137" s="46">
        <f>T1137-R1137</f>
        <v>80.511999999999944</v>
      </c>
      <c r="W1137" s="29">
        <f>HYPERLINK("[P Only Old retention.xlsx]'Lake P Results'!V233", 40.3)</f>
        <v>40.299999999999997</v>
      </c>
      <c r="X1137" s="29">
        <f>HYPERLINK("[P Only New retention.xlsx]'Lake P Results'!V233", 17.26)</f>
        <v>17.260000000000002</v>
      </c>
      <c r="Y1137" s="29">
        <f>HYPERLINK("[P Only with New retention and Differentiation.xlsx]'Lake P Results'!V233", 17.26)</f>
        <v>17.260000000000002</v>
      </c>
      <c r="Z1137" s="47">
        <f>X1137-W1137</f>
        <v>-23.039999999999996</v>
      </c>
      <c r="AA1137" s="47">
        <f>Y1137-W1137</f>
        <v>-23.039999999999996</v>
      </c>
      <c r="AB1137" s="29">
        <f>HYPERLINK("[P Only Old retention.xlsx]'Lake P Results'!Z233", 130.188)</f>
        <v>130.18799999999999</v>
      </c>
      <c r="AC1137" s="29">
        <f>HYPERLINK("[P Only New retention.xlsx]'Lake P Results'!Z233", 79.998)</f>
        <v>79.998000000000005</v>
      </c>
      <c r="AD1137" s="29">
        <f>HYPERLINK("[P Only with New retention and Differentiation.xlsx]'Lake P Results'!Z233", 82.324)</f>
        <v>82.323999999999998</v>
      </c>
      <c r="AE1137" s="47">
        <f>AC1137-AB1137</f>
        <v>-50.189999999999984</v>
      </c>
      <c r="AF1137" s="47">
        <f>AD1137-AB1137</f>
        <v>-47.86399999999999</v>
      </c>
      <c r="AG1137" s="29">
        <f>HYPERLINK("[P Only Old retention.xlsx]'Lake P Results'!AA233", 68.448)</f>
        <v>68.447999999999993</v>
      </c>
      <c r="AH1137" s="29">
        <f>HYPERLINK("[P Only New retention.xlsx]'Lake P Results'!AA233", 88.908)</f>
        <v>88.908000000000001</v>
      </c>
      <c r="AI1137" s="29">
        <f>HYPERLINK("[P Only with New retention and Differentiation.xlsx]'Lake P Results'!AA233", 88.908)</f>
        <v>88.908000000000001</v>
      </c>
      <c r="AJ1137" s="46">
        <f>AH1137-AG1137</f>
        <v>20.460000000000008</v>
      </c>
      <c r="AK1137" s="46">
        <f>AI1137-AG1137</f>
        <v>20.460000000000008</v>
      </c>
      <c r="AL1137" s="29">
        <f>HYPERLINK("[P Only Old retention.xlsx]'Lake P Results'!AF233", 0.02)</f>
        <v>0.02</v>
      </c>
      <c r="AM1137" s="29">
        <f>HYPERLINK("[P Only New retention.xlsx]'Lake P Results'!AF233", 0.02)</f>
        <v>0.02</v>
      </c>
      <c r="AN1137" s="29">
        <f>HYPERLINK("[P Only with New retention and Differentiation.xlsx]'Lake P Results'!AF233", 0.02)</f>
        <v>0.02</v>
      </c>
      <c r="AO1137" s="13"/>
      <c r="AP1137" s="13"/>
      <c r="AQ1137" s="28">
        <f>HYPERLINK("[P Only Old retention.xlsx]'Lake P Results'!AH233", 1600)</f>
        <v>1600</v>
      </c>
      <c r="AR1137" s="28">
        <f>HYPERLINK("[P Only New retention.xlsx]'Lake P Results'!AH233", 1600)</f>
        <v>1600</v>
      </c>
      <c r="AS1137" s="28">
        <f>HYPERLINK("[P Only with New retention and Differentiation.xlsx]'Lake P Results'!AH233", 1600)</f>
        <v>1600</v>
      </c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  <c r="BO1137" s="13"/>
    </row>
    <row r="1138" spans="1:67" x14ac:dyDescent="0.55000000000000004">
      <c r="A1138" s="30">
        <v>591</v>
      </c>
      <c r="B1138" s="6" t="s">
        <v>546</v>
      </c>
      <c r="C1138" s="27">
        <f>HYPERLINK("[P Only Old retention.xlsx]'Lake P Results'!AE234", 0.0519999999999999)</f>
        <v>5.19999999999999E-2</v>
      </c>
      <c r="D1138" s="27">
        <f>HYPERLINK("[P Only New retention.xlsx]'Lake P Results'!AE234", 0.0519999999999999)</f>
        <v>5.19999999999999E-2</v>
      </c>
      <c r="E1138" s="27">
        <f>HYPERLINK("[P Only with New retention and Differentiation.xlsx]'Lake P Results'!AE234", 0.0519999999999999)</f>
        <v>5.19999999999999E-2</v>
      </c>
      <c r="F1138" s="18"/>
      <c r="G1138" s="18"/>
      <c r="H1138" s="26">
        <f>HYPERLINK("[P Only Old retention.xlsx]'Lake P Results'!AM234", 3400)</f>
        <v>3400</v>
      </c>
      <c r="I1138" s="26">
        <f>HYPERLINK("[P Only New retention.xlsx]'Lake P Results'!AM234", 3600)</f>
        <v>3600</v>
      </c>
      <c r="J1138" s="26">
        <f>HYPERLINK("[P Only with New retention and Differentiation.xlsx]'Lake P Results'!AM234", 3600)</f>
        <v>3600</v>
      </c>
      <c r="K1138" s="16">
        <f>I1138-H1138</f>
        <v>200</v>
      </c>
      <c r="L1138" s="16">
        <f>J1138-H1138</f>
        <v>200</v>
      </c>
      <c r="M1138" s="27">
        <f>HYPERLINK("[P Only Old retention.xlsx]'Lake P Results'!AC234", 292.468)</f>
        <v>292.46800000000002</v>
      </c>
      <c r="N1138" s="27">
        <f>HYPERLINK("[P Only New retention.xlsx]'Lake P Results'!AC234", 281.308)</f>
        <v>281.30799999999999</v>
      </c>
      <c r="O1138" s="27">
        <f>HYPERLINK("[P Only with New retention and Differentiation.xlsx]'Lake P Results'!AC234", 291.878)</f>
        <v>291.87799999999999</v>
      </c>
      <c r="P1138" s="47">
        <f>N1138-M1138</f>
        <v>-11.160000000000025</v>
      </c>
      <c r="Q1138" s="47">
        <f>O1138-M1138</f>
        <v>-0.59000000000003183</v>
      </c>
      <c r="R1138" s="27">
        <f>HYPERLINK("[P Only Old retention.xlsx]'Lake P Results'!Y234", 57.08)</f>
        <v>57.08</v>
      </c>
      <c r="S1138" s="27">
        <f>HYPERLINK("[P Only New retention.xlsx]'Lake P Results'!Y234", 41.738)</f>
        <v>41.738</v>
      </c>
      <c r="T1138" s="27">
        <f>HYPERLINK("[P Only with New retention and Differentiation.xlsx]'Lake P Results'!Y234", 57.4)</f>
        <v>57.4</v>
      </c>
      <c r="U1138" s="47">
        <f>S1138-R1138</f>
        <v>-15.341999999999999</v>
      </c>
      <c r="V1138" s="46">
        <f>T1138-R1138</f>
        <v>0.32000000000000028</v>
      </c>
      <c r="W1138" s="18"/>
      <c r="X1138" s="18"/>
      <c r="Y1138" s="18"/>
      <c r="Z1138" s="18"/>
      <c r="AA1138" s="18"/>
      <c r="AB1138" s="27">
        <f>HYPERLINK("[P Only Old retention.xlsx]'Lake P Results'!Z234", 36.066)</f>
        <v>36.066000000000003</v>
      </c>
      <c r="AC1138" s="27">
        <f>HYPERLINK("[P Only New retention.xlsx]'Lake P Results'!Z234", 65.008)</f>
        <v>65.007999999999996</v>
      </c>
      <c r="AD1138" s="27">
        <f>HYPERLINK("[P Only with New retention and Differentiation.xlsx]'Lake P Results'!Z234", 38.776)</f>
        <v>38.776000000000003</v>
      </c>
      <c r="AE1138" s="46">
        <f>AC1138-AB1138</f>
        <v>28.941999999999993</v>
      </c>
      <c r="AF1138" s="46">
        <f>AD1138-AB1138</f>
        <v>2.7100000000000009</v>
      </c>
      <c r="AG1138" s="27">
        <f>HYPERLINK("[P Only Old retention.xlsx]'Lake P Results'!AA234", 40.042)</f>
        <v>40.042000000000002</v>
      </c>
      <c r="AH1138" s="27">
        <f>HYPERLINK("[P Only New retention.xlsx]'Lake P Results'!AA234", 40.042)</f>
        <v>40.042000000000002</v>
      </c>
      <c r="AI1138" s="27">
        <f>HYPERLINK("[P Only with New retention and Differentiation.xlsx]'Lake P Results'!AA234", 40.042)</f>
        <v>40.042000000000002</v>
      </c>
      <c r="AJ1138" s="18"/>
      <c r="AK1138" s="18"/>
      <c r="AL1138" s="27">
        <f>HYPERLINK("[P Only Old retention.xlsx]'Lake P Results'!AF234", 0.52)</f>
        <v>0.52</v>
      </c>
      <c r="AM1138" s="27">
        <f>HYPERLINK("[P Only New retention.xlsx]'Lake P Results'!AF234", 0.52)</f>
        <v>0.52</v>
      </c>
      <c r="AN1138" s="27">
        <f>HYPERLINK("[P Only with New retention and Differentiation.xlsx]'Lake P Results'!AF234", 0.52)</f>
        <v>0.52</v>
      </c>
      <c r="AO1138" s="18"/>
      <c r="AP1138" s="18"/>
      <c r="AQ1138" s="18"/>
      <c r="AR1138" s="18"/>
      <c r="AS1138" s="18"/>
      <c r="AT1138" s="18"/>
      <c r="AU1138" s="18"/>
      <c r="AV1138" s="18"/>
      <c r="AW1138" s="18"/>
      <c r="AX1138" s="18"/>
      <c r="AY1138" s="18"/>
      <c r="AZ1138" s="18"/>
      <c r="BA1138" s="18"/>
      <c r="BB1138" s="18"/>
      <c r="BC1138" s="18"/>
      <c r="BD1138" s="18"/>
      <c r="BE1138" s="18"/>
      <c r="BF1138" s="18"/>
      <c r="BG1138" s="18"/>
      <c r="BH1138" s="18"/>
      <c r="BI1138" s="18"/>
      <c r="BJ1138" s="18"/>
      <c r="BK1138" s="18"/>
      <c r="BL1138" s="18"/>
      <c r="BM1138" s="18"/>
      <c r="BN1138" s="18"/>
      <c r="BO1138" s="18"/>
    </row>
    <row r="1139" spans="1:67" x14ac:dyDescent="0.55000000000000004">
      <c r="A1139" s="31">
        <v>592</v>
      </c>
      <c r="B1139" s="5" t="s">
        <v>547</v>
      </c>
      <c r="C1139" s="29">
        <f>HYPERLINK("[P Only Old retention.xlsx]'Lake P Results'!AE235", 23.292)</f>
        <v>23.292000000000002</v>
      </c>
      <c r="D1139" s="29">
        <f>HYPERLINK("[P Only New retention.xlsx]'Lake P Results'!AE235", 23.292)</f>
        <v>23.292000000000002</v>
      </c>
      <c r="E1139" s="29">
        <f>HYPERLINK("[P Only with New retention and Differentiation.xlsx]'Lake P Results'!AE235", 23.292)</f>
        <v>23.292000000000002</v>
      </c>
      <c r="F1139" s="13"/>
      <c r="G1139" s="13"/>
      <c r="H1139" s="28">
        <f>HYPERLINK("[P Only Old retention.xlsx]'Lake P Results'!AM235", 119300)</f>
        <v>119300</v>
      </c>
      <c r="I1139" s="28">
        <f>HYPERLINK("[P Only New retention.xlsx]'Lake P Results'!AM235", 119500)</f>
        <v>119500</v>
      </c>
      <c r="J1139" s="28">
        <f>HYPERLINK("[P Only with New retention and Differentiation.xlsx]'Lake P Results'!AM235", 119500)</f>
        <v>119500</v>
      </c>
      <c r="K1139" s="16">
        <f>I1139-H1139</f>
        <v>200</v>
      </c>
      <c r="L1139" s="16">
        <f>J1139-H1139</f>
        <v>200</v>
      </c>
      <c r="M1139" s="29">
        <f>HYPERLINK("[P Only Old retention.xlsx]'Lake P Results'!AC235", 4066.168)</f>
        <v>4066.1680000000001</v>
      </c>
      <c r="N1139" s="29">
        <f>HYPERLINK("[P Only New retention.xlsx]'Lake P Results'!AC235", 4086.31)</f>
        <v>4086.31</v>
      </c>
      <c r="O1139" s="29">
        <f>HYPERLINK("[P Only with New retention and Differentiation.xlsx]'Lake P Results'!AC235", 4031.074)</f>
        <v>4031.0740000000001</v>
      </c>
      <c r="P1139" s="46">
        <f>N1139-M1139</f>
        <v>20.141999999999825</v>
      </c>
      <c r="Q1139" s="47">
        <f>O1139-M1139</f>
        <v>-35.094000000000051</v>
      </c>
      <c r="R1139" s="29">
        <f>HYPERLINK("[P Only Old retention.xlsx]'Lake P Results'!Y235", 1104.272)</f>
        <v>1104.2719999999999</v>
      </c>
      <c r="S1139" s="29">
        <f>HYPERLINK("[P Only New retention.xlsx]'Lake P Results'!Y235", 1094.712)</f>
        <v>1094.712</v>
      </c>
      <c r="T1139" s="29">
        <f>HYPERLINK("[P Only with New retention and Differentiation.xlsx]'Lake P Results'!Y235", 1107.044)</f>
        <v>1107.0440000000001</v>
      </c>
      <c r="U1139" s="47">
        <f>S1139-R1139</f>
        <v>-9.5599999999999454</v>
      </c>
      <c r="V1139" s="46">
        <f>T1139-R1139</f>
        <v>2.7720000000001619</v>
      </c>
      <c r="W1139" s="29">
        <f>HYPERLINK("[P Only Old retention.xlsx]'Lake P Results'!V235", 30.388)</f>
        <v>30.388000000000002</v>
      </c>
      <c r="X1139" s="29">
        <f>HYPERLINK("[P Only New retention.xlsx]'Lake P Results'!V235", 15.588)</f>
        <v>15.587999999999999</v>
      </c>
      <c r="Y1139" s="29">
        <f>HYPERLINK("[P Only with New retention and Differentiation.xlsx]'Lake P Results'!V235", 15.588)</f>
        <v>15.587999999999999</v>
      </c>
      <c r="Z1139" s="47">
        <f>X1139-W1139</f>
        <v>-14.800000000000002</v>
      </c>
      <c r="AA1139" s="47">
        <f>Y1139-W1139</f>
        <v>-14.800000000000002</v>
      </c>
      <c r="AB1139" s="29">
        <f>HYPERLINK("[P Only Old retention.xlsx]'Lake P Results'!Z235", 532.46)</f>
        <v>532.46</v>
      </c>
      <c r="AC1139" s="29">
        <f>HYPERLINK("[P Only New retention.xlsx]'Lake P Results'!Z235", 515.662)</f>
        <v>515.66200000000003</v>
      </c>
      <c r="AD1139" s="29">
        <f>HYPERLINK("[P Only with New retention and Differentiation.xlsx]'Lake P Results'!Z235", 557.766)</f>
        <v>557.76599999999996</v>
      </c>
      <c r="AE1139" s="47">
        <f>AC1139-AB1139</f>
        <v>-16.798000000000002</v>
      </c>
      <c r="AF1139" s="46">
        <f>AD1139-AB1139</f>
        <v>25.305999999999926</v>
      </c>
      <c r="AG1139" s="29">
        <f>HYPERLINK("[P Only Old retention.xlsx]'Lake P Results'!AA235", 564.872)</f>
        <v>564.87199999999996</v>
      </c>
      <c r="AH1139" s="29">
        <f>HYPERLINK("[P Only New retention.xlsx]'Lake P Results'!AA235", 571.688)</f>
        <v>571.68799999999999</v>
      </c>
      <c r="AI1139" s="29">
        <f>HYPERLINK("[P Only with New retention and Differentiation.xlsx]'Lake P Results'!AA235", 571.688)</f>
        <v>571.68799999999999</v>
      </c>
      <c r="AJ1139" s="46">
        <f>AH1139-AG1139</f>
        <v>6.8160000000000309</v>
      </c>
      <c r="AK1139" s="46">
        <f>AI1139-AG1139</f>
        <v>6.8160000000000309</v>
      </c>
      <c r="AL1139" s="29">
        <f>HYPERLINK("[P Only Old retention.xlsx]'Lake P Results'!AF235", 1.494)</f>
        <v>1.494</v>
      </c>
      <c r="AM1139" s="29">
        <f>HYPERLINK("[P Only New retention.xlsx]'Lake P Results'!AF235", 1.494)</f>
        <v>1.494</v>
      </c>
      <c r="AN1139" s="29">
        <f>HYPERLINK("[P Only with New retention and Differentiation.xlsx]'Lake P Results'!AF235", 1.494)</f>
        <v>1.494</v>
      </c>
      <c r="AO1139" s="13"/>
      <c r="AP1139" s="13"/>
      <c r="AQ1139" s="28">
        <f>HYPERLINK("[P Only Old retention.xlsx]'Lake P Results'!AH235", 3399.99999998741)</f>
        <v>3399.9999999874099</v>
      </c>
      <c r="AR1139" s="28">
        <f>HYPERLINK("[P Only New retention.xlsx]'Lake P Results'!AH235", 3400)</f>
        <v>3400</v>
      </c>
      <c r="AS1139" s="28">
        <f>HYPERLINK("[P Only with New retention and Differentiation.xlsx]'Lake P Results'!AH235", 3400)</f>
        <v>3400</v>
      </c>
      <c r="AT1139" s="16">
        <f>AR1139-AQ1139</f>
        <v>1.2590135156642646E-8</v>
      </c>
      <c r="AU1139" s="16">
        <f>AS1139-AQ1139</f>
        <v>1.2590135156642646E-8</v>
      </c>
      <c r="AV1139" s="29">
        <f>HYPERLINK("[P Only Old retention.xlsx]'Lake P Results'!M235", 88.35)</f>
        <v>88.35</v>
      </c>
      <c r="AW1139" s="29">
        <f>HYPERLINK("[P Only New retention.xlsx]'Lake P Results'!M235", 91.98)</f>
        <v>91.98</v>
      </c>
      <c r="AX1139" s="29">
        <f>HYPERLINK("[P Only with New retention and Differentiation.xlsx]'Lake P Results'!M235", 91.98)</f>
        <v>91.98</v>
      </c>
      <c r="AY1139" s="46">
        <f>AW1139-AV1139</f>
        <v>3.6300000000000097</v>
      </c>
      <c r="AZ1139" s="46">
        <f>AX1139-AV1139</f>
        <v>3.6300000000000097</v>
      </c>
      <c r="BA1139" s="29">
        <f>HYPERLINK("[P Only Old retention.xlsx]'Lake P Results'!O235", 39.484)</f>
        <v>39.484000000000002</v>
      </c>
      <c r="BB1139" s="29">
        <f>HYPERLINK("[P Only New retention.xlsx]'Lake P Results'!O235", 39.484)</f>
        <v>39.484000000000002</v>
      </c>
      <c r="BC1139" s="29">
        <f>HYPERLINK("[P Only with New retention and Differentiation.xlsx]'Lake P Results'!O235", 39.484)</f>
        <v>39.484000000000002</v>
      </c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  <c r="BO1139" s="13"/>
    </row>
    <row r="1140" spans="1:67" x14ac:dyDescent="0.55000000000000004">
      <c r="A1140" s="30">
        <v>593</v>
      </c>
      <c r="B1140" s="6" t="s">
        <v>548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  <c r="AO1140" s="18"/>
      <c r="AP1140" s="18"/>
      <c r="AQ1140" s="18"/>
      <c r="AR1140" s="18"/>
      <c r="AS1140" s="18"/>
      <c r="AT1140" s="18"/>
      <c r="AU1140" s="18"/>
      <c r="AV1140" s="18"/>
      <c r="AW1140" s="18"/>
      <c r="AX1140" s="18"/>
      <c r="AY1140" s="18"/>
      <c r="AZ1140" s="18"/>
      <c r="BA1140" s="18"/>
      <c r="BB1140" s="18"/>
      <c r="BC1140" s="18"/>
      <c r="BD1140" s="18"/>
      <c r="BE1140" s="18"/>
      <c r="BF1140" s="18"/>
      <c r="BG1140" s="18"/>
      <c r="BH1140" s="18"/>
      <c r="BI1140" s="18"/>
      <c r="BJ1140" s="18"/>
      <c r="BK1140" s="18"/>
      <c r="BL1140" s="18"/>
      <c r="BM1140" s="18"/>
      <c r="BN1140" s="18"/>
      <c r="BO1140" s="18"/>
    </row>
    <row r="1141" spans="1:67" x14ac:dyDescent="0.55000000000000004">
      <c r="A1141" s="31">
        <v>595</v>
      </c>
      <c r="B1141" s="5" t="s">
        <v>549</v>
      </c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  <c r="BO1141" s="13"/>
    </row>
    <row r="1142" spans="1:67" x14ac:dyDescent="0.55000000000000004">
      <c r="A1142" s="30">
        <v>597</v>
      </c>
      <c r="B1142" s="6" t="s">
        <v>550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  <c r="AO1142" s="18"/>
      <c r="AP1142" s="18"/>
      <c r="AQ1142" s="18"/>
      <c r="AR1142" s="18"/>
      <c r="AS1142" s="18"/>
      <c r="AT1142" s="18"/>
      <c r="AU1142" s="18"/>
      <c r="AV1142" s="18"/>
      <c r="AW1142" s="18"/>
      <c r="AX1142" s="18"/>
      <c r="AY1142" s="18"/>
      <c r="AZ1142" s="18"/>
      <c r="BA1142" s="18"/>
      <c r="BB1142" s="18"/>
      <c r="BC1142" s="18"/>
      <c r="BD1142" s="18"/>
      <c r="BE1142" s="18"/>
      <c r="BF1142" s="18"/>
      <c r="BG1142" s="18"/>
      <c r="BH1142" s="18"/>
      <c r="BI1142" s="18"/>
      <c r="BJ1142" s="18"/>
      <c r="BK1142" s="18"/>
      <c r="BL1142" s="18"/>
      <c r="BM1142" s="18"/>
      <c r="BN1142" s="18"/>
      <c r="BO1142" s="18"/>
    </row>
    <row r="1143" spans="1:67" x14ac:dyDescent="0.55000000000000004">
      <c r="A1143" s="31">
        <v>598</v>
      </c>
      <c r="B1143" s="5" t="s">
        <v>551</v>
      </c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  <c r="AW1143" s="13"/>
      <c r="AX1143" s="13"/>
      <c r="AY1143" s="13"/>
      <c r="AZ1143" s="13"/>
      <c r="BA1143" s="13"/>
      <c r="BB1143" s="13"/>
      <c r="BC1143" s="13"/>
      <c r="BD1143" s="13"/>
      <c r="BE1143" s="13"/>
      <c r="BF1143" s="13"/>
      <c r="BG1143" s="13"/>
      <c r="BH1143" s="13"/>
      <c r="BI1143" s="13"/>
      <c r="BJ1143" s="13"/>
      <c r="BK1143" s="13"/>
      <c r="BL1143" s="13"/>
      <c r="BM1143" s="13"/>
      <c r="BN1143" s="13"/>
      <c r="BO1143" s="13"/>
    </row>
    <row r="1144" spans="1:67" x14ac:dyDescent="0.55000000000000004">
      <c r="A1144" s="30">
        <v>599</v>
      </c>
      <c r="B1144" s="6" t="s">
        <v>552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  <c r="AO1144" s="18"/>
      <c r="AP1144" s="18"/>
      <c r="AQ1144" s="18"/>
      <c r="AR1144" s="18"/>
      <c r="AS1144" s="18"/>
      <c r="AT1144" s="18"/>
      <c r="AU1144" s="18"/>
      <c r="AV1144" s="18"/>
      <c r="AW1144" s="18"/>
      <c r="AX1144" s="18"/>
      <c r="AY1144" s="18"/>
      <c r="AZ1144" s="18"/>
      <c r="BA1144" s="18"/>
      <c r="BB1144" s="18"/>
      <c r="BC1144" s="18"/>
      <c r="BD1144" s="18"/>
      <c r="BE1144" s="18"/>
      <c r="BF1144" s="18"/>
      <c r="BG1144" s="18"/>
      <c r="BH1144" s="18"/>
      <c r="BI1144" s="18"/>
      <c r="BJ1144" s="18"/>
      <c r="BK1144" s="18"/>
      <c r="BL1144" s="18"/>
      <c r="BM1144" s="18"/>
      <c r="BN1144" s="18"/>
      <c r="BO1144" s="18"/>
    </row>
    <row r="1145" spans="1:67" x14ac:dyDescent="0.55000000000000004">
      <c r="A1145" s="31">
        <v>601</v>
      </c>
      <c r="B1145" s="5" t="s">
        <v>553</v>
      </c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  <c r="AW1145" s="13"/>
      <c r="AX1145" s="13"/>
      <c r="AY1145" s="13"/>
      <c r="AZ1145" s="13"/>
      <c r="BA1145" s="13"/>
      <c r="BB1145" s="13"/>
      <c r="BC1145" s="13"/>
      <c r="BD1145" s="13"/>
      <c r="BE1145" s="13"/>
      <c r="BF1145" s="13"/>
      <c r="BG1145" s="13"/>
      <c r="BH1145" s="13"/>
      <c r="BI1145" s="13"/>
      <c r="BJ1145" s="13"/>
      <c r="BK1145" s="13"/>
      <c r="BL1145" s="13"/>
      <c r="BM1145" s="13"/>
      <c r="BN1145" s="13"/>
      <c r="BO1145" s="13"/>
    </row>
    <row r="1146" spans="1:67" x14ac:dyDescent="0.55000000000000004">
      <c r="A1146" s="30">
        <v>602</v>
      </c>
      <c r="B1146" s="6" t="s">
        <v>554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  <c r="AO1146" s="18"/>
      <c r="AP1146" s="18"/>
      <c r="AQ1146" s="18"/>
      <c r="AR1146" s="18"/>
      <c r="AS1146" s="18"/>
      <c r="AT1146" s="18"/>
      <c r="AU1146" s="18"/>
      <c r="AV1146" s="18"/>
      <c r="AW1146" s="18"/>
      <c r="AX1146" s="18"/>
      <c r="AY1146" s="18"/>
      <c r="AZ1146" s="18"/>
      <c r="BA1146" s="18"/>
      <c r="BB1146" s="18"/>
      <c r="BC1146" s="18"/>
      <c r="BD1146" s="18"/>
      <c r="BE1146" s="18"/>
      <c r="BF1146" s="18"/>
      <c r="BG1146" s="18"/>
      <c r="BH1146" s="18"/>
      <c r="BI1146" s="18"/>
      <c r="BJ1146" s="18"/>
      <c r="BK1146" s="18"/>
      <c r="BL1146" s="18"/>
      <c r="BM1146" s="18"/>
      <c r="BN1146" s="18"/>
      <c r="BO1146" s="18"/>
    </row>
    <row r="1147" spans="1:67" x14ac:dyDescent="0.55000000000000004">
      <c r="A1147" s="31">
        <v>605</v>
      </c>
      <c r="B1147" s="5" t="s">
        <v>555</v>
      </c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  <c r="AW1147" s="13"/>
      <c r="AX1147" s="13"/>
      <c r="AY1147" s="13"/>
      <c r="AZ1147" s="13"/>
      <c r="BA1147" s="13"/>
      <c r="BB1147" s="13"/>
      <c r="BC1147" s="13"/>
      <c r="BD1147" s="13"/>
      <c r="BE1147" s="13"/>
      <c r="BF1147" s="13"/>
      <c r="BG1147" s="13"/>
      <c r="BH1147" s="13"/>
      <c r="BI1147" s="13"/>
      <c r="BJ1147" s="13"/>
      <c r="BK1147" s="13"/>
      <c r="BL1147" s="13"/>
      <c r="BM1147" s="13"/>
      <c r="BN1147" s="13"/>
      <c r="BO1147" s="13"/>
    </row>
    <row r="1148" spans="1:67" x14ac:dyDescent="0.55000000000000004">
      <c r="A1148" s="30">
        <v>606</v>
      </c>
      <c r="B1148" s="6" t="s">
        <v>556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  <c r="AO1148" s="18"/>
      <c r="AP1148" s="18"/>
      <c r="AQ1148" s="18"/>
      <c r="AR1148" s="18"/>
      <c r="AS1148" s="18"/>
      <c r="AT1148" s="18"/>
      <c r="AU1148" s="18"/>
      <c r="AV1148" s="18"/>
      <c r="AW1148" s="18"/>
      <c r="AX1148" s="18"/>
      <c r="AY1148" s="18"/>
      <c r="AZ1148" s="18"/>
      <c r="BA1148" s="18"/>
      <c r="BB1148" s="18"/>
      <c r="BC1148" s="18"/>
      <c r="BD1148" s="18"/>
      <c r="BE1148" s="18"/>
      <c r="BF1148" s="18"/>
      <c r="BG1148" s="18"/>
      <c r="BH1148" s="18"/>
      <c r="BI1148" s="18"/>
      <c r="BJ1148" s="18"/>
      <c r="BK1148" s="18"/>
      <c r="BL1148" s="18"/>
      <c r="BM1148" s="18"/>
      <c r="BN1148" s="18"/>
      <c r="BO1148" s="18"/>
    </row>
    <row r="1149" spans="1:67" x14ac:dyDescent="0.55000000000000004">
      <c r="A1149" s="31">
        <v>607</v>
      </c>
      <c r="B1149" s="5" t="s">
        <v>557</v>
      </c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  <c r="AW1149" s="13"/>
      <c r="AX1149" s="13"/>
      <c r="AY1149" s="13"/>
      <c r="AZ1149" s="13"/>
      <c r="BA1149" s="13"/>
      <c r="BB1149" s="13"/>
      <c r="BC1149" s="13"/>
      <c r="BD1149" s="13"/>
      <c r="BE1149" s="13"/>
      <c r="BF1149" s="13"/>
      <c r="BG1149" s="13"/>
      <c r="BH1149" s="13"/>
      <c r="BI1149" s="13"/>
      <c r="BJ1149" s="13"/>
      <c r="BK1149" s="13"/>
      <c r="BL1149" s="13"/>
      <c r="BM1149" s="13"/>
      <c r="BN1149" s="13"/>
      <c r="BO1149" s="13"/>
    </row>
    <row r="1150" spans="1:67" x14ac:dyDescent="0.55000000000000004">
      <c r="A1150" s="30">
        <v>608</v>
      </c>
      <c r="B1150" s="6" t="s">
        <v>558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  <c r="AO1150" s="18"/>
      <c r="AP1150" s="18"/>
      <c r="AQ1150" s="18"/>
      <c r="AR1150" s="18"/>
      <c r="AS1150" s="18"/>
      <c r="AT1150" s="18"/>
      <c r="AU1150" s="18"/>
      <c r="AV1150" s="18"/>
      <c r="AW1150" s="18"/>
      <c r="AX1150" s="18"/>
      <c r="AY1150" s="18"/>
      <c r="AZ1150" s="18"/>
      <c r="BA1150" s="18"/>
      <c r="BB1150" s="18"/>
      <c r="BC1150" s="18"/>
      <c r="BD1150" s="18"/>
      <c r="BE1150" s="18"/>
      <c r="BF1150" s="18"/>
      <c r="BG1150" s="18"/>
      <c r="BH1150" s="18"/>
      <c r="BI1150" s="18"/>
      <c r="BJ1150" s="18"/>
      <c r="BK1150" s="18"/>
      <c r="BL1150" s="18"/>
      <c r="BM1150" s="18"/>
      <c r="BN1150" s="18"/>
      <c r="BO1150" s="18"/>
    </row>
    <row r="1151" spans="1:67" x14ac:dyDescent="0.55000000000000004">
      <c r="A1151" s="31">
        <v>609</v>
      </c>
      <c r="B1151" s="5" t="s">
        <v>559</v>
      </c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  <c r="AW1151" s="13"/>
      <c r="AX1151" s="13"/>
      <c r="AY1151" s="13"/>
      <c r="AZ1151" s="13"/>
      <c r="BA1151" s="13"/>
      <c r="BB1151" s="13"/>
      <c r="BC1151" s="13"/>
      <c r="BD1151" s="13"/>
      <c r="BE1151" s="13"/>
      <c r="BF1151" s="13"/>
      <c r="BG1151" s="13"/>
      <c r="BH1151" s="13"/>
      <c r="BI1151" s="13"/>
      <c r="BJ1151" s="13"/>
      <c r="BK1151" s="13"/>
      <c r="BL1151" s="13"/>
      <c r="BM1151" s="13"/>
      <c r="BN1151" s="13"/>
      <c r="BO1151" s="13"/>
    </row>
    <row r="1152" spans="1:67" x14ac:dyDescent="0.55000000000000004">
      <c r="A1152" s="30">
        <v>610</v>
      </c>
      <c r="B1152" s="6" t="s">
        <v>560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  <c r="AO1152" s="18"/>
      <c r="AP1152" s="18"/>
      <c r="AQ1152" s="18"/>
      <c r="AR1152" s="18"/>
      <c r="AS1152" s="18"/>
      <c r="AT1152" s="18"/>
      <c r="AU1152" s="18"/>
      <c r="AV1152" s="18"/>
      <c r="AW1152" s="18"/>
      <c r="AX1152" s="18"/>
      <c r="AY1152" s="18"/>
      <c r="AZ1152" s="18"/>
      <c r="BA1152" s="18"/>
      <c r="BB1152" s="18"/>
      <c r="BC1152" s="18"/>
      <c r="BD1152" s="18"/>
      <c r="BE1152" s="18"/>
      <c r="BF1152" s="18"/>
      <c r="BG1152" s="18"/>
      <c r="BH1152" s="18"/>
      <c r="BI1152" s="18"/>
      <c r="BJ1152" s="18"/>
      <c r="BK1152" s="18"/>
      <c r="BL1152" s="18"/>
      <c r="BM1152" s="18"/>
      <c r="BN1152" s="18"/>
      <c r="BO1152" s="18"/>
    </row>
    <row r="1153" spans="1:67" x14ac:dyDescent="0.55000000000000004">
      <c r="A1153" s="31">
        <v>612</v>
      </c>
      <c r="B1153" s="5" t="s">
        <v>561</v>
      </c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  <c r="AW1153" s="13"/>
      <c r="AX1153" s="13"/>
      <c r="AY1153" s="13"/>
      <c r="AZ1153" s="13"/>
      <c r="BA1153" s="13"/>
      <c r="BB1153" s="13"/>
      <c r="BC1153" s="13"/>
      <c r="BD1153" s="13"/>
      <c r="BE1153" s="13"/>
      <c r="BF1153" s="13"/>
      <c r="BG1153" s="13"/>
      <c r="BH1153" s="13"/>
      <c r="BI1153" s="13"/>
      <c r="BJ1153" s="13"/>
      <c r="BK1153" s="13"/>
      <c r="BL1153" s="13"/>
      <c r="BM1153" s="13"/>
      <c r="BN1153" s="13"/>
      <c r="BO1153" s="13"/>
    </row>
    <row r="1154" spans="1:67" x14ac:dyDescent="0.55000000000000004">
      <c r="A1154" s="30">
        <v>615</v>
      </c>
      <c r="B1154" s="6" t="s">
        <v>562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  <c r="AO1154" s="18"/>
      <c r="AP1154" s="18"/>
      <c r="AQ1154" s="18"/>
      <c r="AR1154" s="18"/>
      <c r="AS1154" s="18"/>
      <c r="AT1154" s="18"/>
      <c r="AU1154" s="18"/>
      <c r="AV1154" s="18"/>
      <c r="AW1154" s="18"/>
      <c r="AX1154" s="18"/>
      <c r="AY1154" s="18"/>
      <c r="AZ1154" s="18"/>
      <c r="BA1154" s="18"/>
      <c r="BB1154" s="18"/>
      <c r="BC1154" s="18"/>
      <c r="BD1154" s="18"/>
      <c r="BE1154" s="18"/>
      <c r="BF1154" s="18"/>
      <c r="BG1154" s="18"/>
      <c r="BH1154" s="18"/>
      <c r="BI1154" s="18"/>
      <c r="BJ1154" s="18"/>
      <c r="BK1154" s="18"/>
      <c r="BL1154" s="18"/>
      <c r="BM1154" s="18"/>
      <c r="BN1154" s="18"/>
      <c r="BO1154" s="18"/>
    </row>
    <row r="1155" spans="1:67" x14ac:dyDescent="0.55000000000000004">
      <c r="A1155" s="31">
        <v>622</v>
      </c>
      <c r="B1155" s="5" t="s">
        <v>563</v>
      </c>
      <c r="C1155" s="13"/>
      <c r="D1155" s="13"/>
      <c r="E1155" s="13"/>
      <c r="F1155" s="13"/>
      <c r="G1155" s="13"/>
      <c r="H1155" s="28">
        <f>HYPERLINK("[P Only Old retention.xlsx]'Lake P Results'!AM251", 20800)</f>
        <v>20800</v>
      </c>
      <c r="I1155" s="28">
        <f>HYPERLINK("[P Only New retention.xlsx]'Lake P Results'!AM251", 20800)</f>
        <v>20800</v>
      </c>
      <c r="J1155" s="28">
        <f>HYPERLINK("[P Only with New retention and Differentiation.xlsx]'Lake P Results'!AM251", 20900)</f>
        <v>20900</v>
      </c>
      <c r="K1155" s="13"/>
      <c r="L1155" s="16">
        <f>J1155-H1155</f>
        <v>100</v>
      </c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29">
        <f>HYPERLINK("[P Only Old retention.xlsx]'Lake P Results'!AA251", 0.890000000000001)</f>
        <v>0.89000000000000101</v>
      </c>
      <c r="AH1155" s="29">
        <f>HYPERLINK("[P Only New retention.xlsx]'Lake P Results'!AA251", 0.352000000000001)</f>
        <v>0.35200000000000098</v>
      </c>
      <c r="AI1155" s="29">
        <f>HYPERLINK("[P Only with New retention and Differentiation.xlsx]'Lake P Results'!AA251", 0.352000000000001)</f>
        <v>0.35200000000000098</v>
      </c>
      <c r="AJ1155" s="47">
        <f>AH1155-AG1155</f>
        <v>-0.53800000000000003</v>
      </c>
      <c r="AK1155" s="47">
        <f>AI1155-AG1155</f>
        <v>-0.53800000000000003</v>
      </c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  <c r="AW1155" s="13"/>
      <c r="AX1155" s="13"/>
      <c r="AY1155" s="13"/>
      <c r="AZ1155" s="13"/>
      <c r="BA1155" s="13"/>
      <c r="BB1155" s="13"/>
      <c r="BC1155" s="13"/>
      <c r="BD1155" s="13"/>
      <c r="BE1155" s="13"/>
      <c r="BF1155" s="13"/>
      <c r="BG1155" s="13"/>
      <c r="BH1155" s="13"/>
      <c r="BI1155" s="13"/>
      <c r="BJ1155" s="13"/>
      <c r="BK1155" s="13"/>
      <c r="BL1155" s="13"/>
      <c r="BM1155" s="13"/>
      <c r="BN1155" s="13"/>
      <c r="BO1155" s="13"/>
    </row>
    <row r="1156" spans="1:67" x14ac:dyDescent="0.55000000000000004">
      <c r="A1156" s="30">
        <v>623</v>
      </c>
      <c r="B1156" s="6" t="s">
        <v>564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  <c r="AV1156" s="18"/>
      <c r="AW1156" s="18"/>
      <c r="AX1156" s="18"/>
      <c r="AY1156" s="18"/>
      <c r="AZ1156" s="18"/>
      <c r="BA1156" s="18"/>
      <c r="BB1156" s="18"/>
      <c r="BC1156" s="18"/>
      <c r="BD1156" s="18"/>
      <c r="BE1156" s="18"/>
      <c r="BF1156" s="18"/>
      <c r="BG1156" s="18"/>
      <c r="BH1156" s="18"/>
      <c r="BI1156" s="18"/>
      <c r="BJ1156" s="18"/>
      <c r="BK1156" s="18"/>
      <c r="BL1156" s="18"/>
      <c r="BM1156" s="18"/>
      <c r="BN1156" s="18"/>
      <c r="BO1156" s="18"/>
    </row>
    <row r="1157" spans="1:67" x14ac:dyDescent="0.55000000000000004">
      <c r="A1157" s="31">
        <v>632</v>
      </c>
      <c r="B1157" s="5" t="s">
        <v>565</v>
      </c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  <c r="AW1157" s="13"/>
      <c r="AX1157" s="13"/>
      <c r="AY1157" s="13"/>
      <c r="AZ1157" s="13"/>
      <c r="BA1157" s="13"/>
      <c r="BB1157" s="13"/>
      <c r="BC1157" s="13"/>
      <c r="BD1157" s="13"/>
      <c r="BE1157" s="13"/>
      <c r="BF1157" s="13"/>
      <c r="BG1157" s="13"/>
      <c r="BH1157" s="13"/>
      <c r="BI1157" s="13"/>
      <c r="BJ1157" s="13"/>
      <c r="BK1157" s="13"/>
      <c r="BL1157" s="13"/>
      <c r="BM1157" s="13"/>
      <c r="BN1157" s="13"/>
      <c r="BO1157" s="13"/>
    </row>
    <row r="1158" spans="1:67" x14ac:dyDescent="0.55000000000000004">
      <c r="A1158" s="30">
        <v>633</v>
      </c>
      <c r="B1158" s="6" t="s">
        <v>566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/>
      <c r="AP1158" s="18"/>
      <c r="AQ1158" s="18"/>
      <c r="AR1158" s="18"/>
      <c r="AS1158" s="18"/>
      <c r="AT1158" s="18"/>
      <c r="AU1158" s="18"/>
      <c r="AV1158" s="18"/>
      <c r="AW1158" s="18"/>
      <c r="AX1158" s="18"/>
      <c r="AY1158" s="18"/>
      <c r="AZ1158" s="18"/>
      <c r="BA1158" s="18"/>
      <c r="BB1158" s="18"/>
      <c r="BC1158" s="18"/>
      <c r="BD1158" s="18"/>
      <c r="BE1158" s="18"/>
      <c r="BF1158" s="18"/>
      <c r="BG1158" s="18"/>
      <c r="BH1158" s="18"/>
      <c r="BI1158" s="18"/>
      <c r="BJ1158" s="18"/>
      <c r="BK1158" s="18"/>
      <c r="BL1158" s="18"/>
      <c r="BM1158" s="18"/>
      <c r="BN1158" s="18"/>
      <c r="BO1158" s="18"/>
    </row>
    <row r="1159" spans="1:67" x14ac:dyDescent="0.55000000000000004">
      <c r="A1159" s="31">
        <v>639</v>
      </c>
      <c r="B1159" s="5" t="s">
        <v>567</v>
      </c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  <c r="AW1159" s="13"/>
      <c r="AX1159" s="13"/>
      <c r="AY1159" s="13"/>
      <c r="AZ1159" s="13"/>
      <c r="BA1159" s="13"/>
      <c r="BB1159" s="13"/>
      <c r="BC1159" s="13"/>
      <c r="BD1159" s="13"/>
      <c r="BE1159" s="13"/>
      <c r="BF1159" s="13"/>
      <c r="BG1159" s="13"/>
      <c r="BH1159" s="13"/>
      <c r="BI1159" s="13"/>
      <c r="BJ1159" s="13"/>
      <c r="BK1159" s="13"/>
      <c r="BL1159" s="13"/>
      <c r="BM1159" s="13"/>
      <c r="BN1159" s="13"/>
      <c r="BO1159" s="13"/>
    </row>
    <row r="1160" spans="1:67" x14ac:dyDescent="0.55000000000000004">
      <c r="A1160" s="30">
        <v>641</v>
      </c>
      <c r="B1160" s="6" t="s">
        <v>568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  <c r="AV1160" s="18"/>
      <c r="AW1160" s="18"/>
      <c r="AX1160" s="18"/>
      <c r="AY1160" s="18"/>
      <c r="AZ1160" s="18"/>
      <c r="BA1160" s="18"/>
      <c r="BB1160" s="18"/>
      <c r="BC1160" s="18"/>
      <c r="BD1160" s="18"/>
      <c r="BE1160" s="18"/>
      <c r="BF1160" s="18"/>
      <c r="BG1160" s="18"/>
      <c r="BH1160" s="18"/>
      <c r="BI1160" s="18"/>
      <c r="BJ1160" s="18"/>
      <c r="BK1160" s="18"/>
      <c r="BL1160" s="18"/>
      <c r="BM1160" s="18"/>
      <c r="BN1160" s="18"/>
      <c r="BO1160" s="18"/>
    </row>
    <row r="1161" spans="1:67" x14ac:dyDescent="0.55000000000000004">
      <c r="A1161" s="31">
        <v>642</v>
      </c>
      <c r="B1161" s="5" t="s">
        <v>569</v>
      </c>
      <c r="C1161" s="13"/>
      <c r="D1161" s="13"/>
      <c r="E1161" s="13"/>
      <c r="F1161" s="13"/>
      <c r="G1161" s="13"/>
      <c r="H1161" s="28">
        <f>HYPERLINK("[P Only Old retention.xlsx]'Lake P Results'!AM257", 4800)</f>
        <v>4800</v>
      </c>
      <c r="I1161" s="28">
        <f>HYPERLINK("[P Only New retention.xlsx]'Lake P Results'!AM257", 4800)</f>
        <v>4800</v>
      </c>
      <c r="J1161" s="28">
        <f>HYPERLINK("[P Only with New retention and Differentiation.xlsx]'Lake P Results'!AM257", 4700)</f>
        <v>4700</v>
      </c>
      <c r="K1161" s="13"/>
      <c r="L1161" s="21">
        <f>J1161-H1161</f>
        <v>-100</v>
      </c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29">
        <f>HYPERLINK("[P Only Old retention.xlsx]'Lake P Results'!AA257", 0.979999999999998)</f>
        <v>0.97999999999999798</v>
      </c>
      <c r="AH1161" s="13"/>
      <c r="AI1161" s="13"/>
      <c r="AJ1161" s="47">
        <f>AH1161-AG1161</f>
        <v>-0.97999999999999798</v>
      </c>
      <c r="AK1161" s="47">
        <f>AI1161-AG1161</f>
        <v>-0.97999999999999798</v>
      </c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  <c r="AW1161" s="13"/>
      <c r="AX1161" s="13"/>
      <c r="AY1161" s="13"/>
      <c r="AZ1161" s="13"/>
      <c r="BA1161" s="13"/>
      <c r="BB1161" s="13"/>
      <c r="BC1161" s="13"/>
      <c r="BD1161" s="13"/>
      <c r="BE1161" s="13"/>
      <c r="BF1161" s="13"/>
      <c r="BG1161" s="13"/>
      <c r="BH1161" s="13"/>
      <c r="BI1161" s="13"/>
      <c r="BJ1161" s="13"/>
      <c r="BK1161" s="13"/>
      <c r="BL1161" s="13"/>
      <c r="BM1161" s="13"/>
      <c r="BN1161" s="13"/>
      <c r="BO1161" s="13"/>
    </row>
    <row r="1162" spans="1:67" x14ac:dyDescent="0.55000000000000004">
      <c r="A1162" s="30">
        <v>646</v>
      </c>
      <c r="B1162" s="6" t="s">
        <v>570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  <c r="AO1162" s="18"/>
      <c r="AP1162" s="18"/>
      <c r="AQ1162" s="18"/>
      <c r="AR1162" s="18"/>
      <c r="AS1162" s="18"/>
      <c r="AT1162" s="18"/>
      <c r="AU1162" s="18"/>
      <c r="AV1162" s="18"/>
      <c r="AW1162" s="18"/>
      <c r="AX1162" s="18"/>
      <c r="AY1162" s="18"/>
      <c r="AZ1162" s="18"/>
      <c r="BA1162" s="18"/>
      <c r="BB1162" s="18"/>
      <c r="BC1162" s="18"/>
      <c r="BD1162" s="18"/>
      <c r="BE1162" s="18"/>
      <c r="BF1162" s="18"/>
      <c r="BG1162" s="18"/>
      <c r="BH1162" s="18"/>
      <c r="BI1162" s="18"/>
      <c r="BJ1162" s="18"/>
      <c r="BK1162" s="18"/>
      <c r="BL1162" s="18"/>
      <c r="BM1162" s="18"/>
      <c r="BN1162" s="18"/>
      <c r="BO1162" s="18"/>
    </row>
    <row r="1163" spans="1:67" x14ac:dyDescent="0.55000000000000004">
      <c r="A1163" s="31">
        <v>647</v>
      </c>
      <c r="B1163" s="5" t="s">
        <v>571</v>
      </c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  <c r="AW1163" s="13"/>
      <c r="AX1163" s="13"/>
      <c r="AY1163" s="13"/>
      <c r="AZ1163" s="13"/>
      <c r="BA1163" s="13"/>
      <c r="BB1163" s="13"/>
      <c r="BC1163" s="13"/>
      <c r="BD1163" s="13"/>
      <c r="BE1163" s="13"/>
      <c r="BF1163" s="13"/>
      <c r="BG1163" s="13"/>
      <c r="BH1163" s="13"/>
      <c r="BI1163" s="13"/>
      <c r="BJ1163" s="13"/>
      <c r="BK1163" s="13"/>
      <c r="BL1163" s="13"/>
      <c r="BM1163" s="13"/>
      <c r="BN1163" s="13"/>
      <c r="BO1163" s="13"/>
    </row>
    <row r="1164" spans="1:67" x14ac:dyDescent="0.55000000000000004">
      <c r="A1164" s="30">
        <v>650</v>
      </c>
      <c r="B1164" s="6" t="s">
        <v>572</v>
      </c>
      <c r="C1164" s="27">
        <f>HYPERLINK("[P Only Old retention.xlsx]'Lake P Results'!AE260", 9.42829787234043)</f>
        <v>9.4282978723404298</v>
      </c>
      <c r="D1164" s="27">
        <f>HYPERLINK("[P Only New retention.xlsx]'Lake P Results'!AE260", 9.42829787234043)</f>
        <v>9.4282978723404298</v>
      </c>
      <c r="E1164" s="27">
        <f>HYPERLINK("[P Only with New retention and Differentiation.xlsx]'Lake P Results'!AE260", 9.42829787234043)</f>
        <v>9.4282978723404298</v>
      </c>
      <c r="F1164" s="18"/>
      <c r="G1164" s="18"/>
      <c r="H1164" s="26">
        <f>HYPERLINK("[P Only Old retention.xlsx]'Lake P Results'!AM260", 140500)</f>
        <v>140500</v>
      </c>
      <c r="I1164" s="26">
        <f>HYPERLINK("[P Only New retention.xlsx]'Lake P Results'!AM260", 140500)</f>
        <v>140500</v>
      </c>
      <c r="J1164" s="26">
        <f>HYPERLINK("[P Only with New retention and Differentiation.xlsx]'Lake P Results'!AM260", 140500)</f>
        <v>140500</v>
      </c>
      <c r="K1164" s="18"/>
      <c r="L1164" s="18"/>
      <c r="M1164" s="27">
        <f>HYPERLINK("[P Only Old retention.xlsx]'Lake P Results'!AC260", 47.194)</f>
        <v>47.194000000000003</v>
      </c>
      <c r="N1164" s="27">
        <f>HYPERLINK("[P Only New retention.xlsx]'Lake P Results'!AC260", 47.194)</f>
        <v>47.194000000000003</v>
      </c>
      <c r="O1164" s="27">
        <f>HYPERLINK("[P Only with New retention and Differentiation.xlsx]'Lake P Results'!AC260", 47.194)</f>
        <v>47.194000000000003</v>
      </c>
      <c r="P1164" s="18"/>
      <c r="Q1164" s="18"/>
      <c r="R1164" s="27">
        <f>HYPERLINK("[P Only Old retention.xlsx]'Lake P Results'!Y260", 952.392)</f>
        <v>952.39200000000005</v>
      </c>
      <c r="S1164" s="27">
        <f>HYPERLINK("[P Only New retention.xlsx]'Lake P Results'!Y260", 952.392)</f>
        <v>952.39200000000005</v>
      </c>
      <c r="T1164" s="27">
        <f>HYPERLINK("[P Only with New retention and Differentiation.xlsx]'Lake P Results'!Y260", 934.592)</f>
        <v>934.59199999999998</v>
      </c>
      <c r="U1164" s="18"/>
      <c r="V1164" s="47">
        <f>T1164-R1164</f>
        <v>-17.800000000000068</v>
      </c>
      <c r="W1164" s="27">
        <f>HYPERLINK("[P Only Old retention.xlsx]'Lake P Results'!V260", 570.85)</f>
        <v>570.85</v>
      </c>
      <c r="X1164" s="27">
        <f>HYPERLINK("[P Only New retention.xlsx]'Lake P Results'!V260", 570.85)</f>
        <v>570.85</v>
      </c>
      <c r="Y1164" s="27">
        <f>HYPERLINK("[P Only with New retention and Differentiation.xlsx]'Lake P Results'!V260", 570.85)</f>
        <v>570.85</v>
      </c>
      <c r="Z1164" s="18"/>
      <c r="AA1164" s="18"/>
      <c r="AB1164" s="27">
        <f>HYPERLINK("[P Only Old retention.xlsx]'Lake P Results'!Z260", 10.2)</f>
        <v>10.199999999999999</v>
      </c>
      <c r="AC1164" s="27">
        <f>HYPERLINK("[P Only New retention.xlsx]'Lake P Results'!Z260", 10.2)</f>
        <v>10.199999999999999</v>
      </c>
      <c r="AD1164" s="27">
        <f>HYPERLINK("[P Only with New retention and Differentiation.xlsx]'Lake P Results'!Z260", 28)</f>
        <v>28</v>
      </c>
      <c r="AE1164" s="18"/>
      <c r="AF1164" s="46">
        <f>AD1164-AB1164</f>
        <v>17.8</v>
      </c>
      <c r="AG1164" s="18"/>
      <c r="AH1164" s="18"/>
      <c r="AI1164" s="18"/>
      <c r="AJ1164" s="18"/>
      <c r="AK1164" s="18"/>
      <c r="AL1164" s="27">
        <f>HYPERLINK("[P Only Old retention.xlsx]'Lake P Results'!AF260", 0.41)</f>
        <v>0.41</v>
      </c>
      <c r="AM1164" s="27">
        <f>HYPERLINK("[P Only New retention.xlsx]'Lake P Results'!AF260", 0.41)</f>
        <v>0.41</v>
      </c>
      <c r="AN1164" s="27">
        <f>HYPERLINK("[P Only with New retention and Differentiation.xlsx]'Lake P Results'!AF260", 0.41)</f>
        <v>0.41</v>
      </c>
      <c r="AO1164" s="18"/>
      <c r="AP1164" s="18"/>
      <c r="AQ1164" s="26">
        <f>HYPERLINK("[P Only Old retention.xlsx]'Lake P Results'!AH260", 7669.99999999798)</f>
        <v>7669.99999999798</v>
      </c>
      <c r="AR1164" s="26">
        <f>HYPERLINK("[P Only New retention.xlsx]'Lake P Results'!AH260", 7669.99999999798)</f>
        <v>7669.99999999798</v>
      </c>
      <c r="AS1164" s="26">
        <f>HYPERLINK("[P Only with New retention and Differentiation.xlsx]'Lake P Results'!AH260", 7669.99999999798)</f>
        <v>7669.99999999798</v>
      </c>
      <c r="AT1164" s="18"/>
      <c r="AU1164" s="18"/>
      <c r="AV1164" s="27">
        <f>HYPERLINK("[P Only Old retention.xlsx]'Lake P Results'!M260", 1514.95582886106)</f>
        <v>1514.9558288610599</v>
      </c>
      <c r="AW1164" s="27">
        <f>HYPERLINK("[P Only New retention.xlsx]'Lake P Results'!M260", 1514.95582886106)</f>
        <v>1514.9558288610599</v>
      </c>
      <c r="AX1164" s="27">
        <f>HYPERLINK("[P Only with New retention and Differentiation.xlsx]'Lake P Results'!M260", 1514.95582886106)</f>
        <v>1514.9558288610599</v>
      </c>
      <c r="AY1164" s="18"/>
      <c r="AZ1164" s="18"/>
      <c r="BA1164" s="27">
        <f>HYPERLINK("[P Only Old retention.xlsx]'Lake P Results'!O260", 7103.666)</f>
        <v>7103.6660000000002</v>
      </c>
      <c r="BB1164" s="27">
        <f>HYPERLINK("[P Only New retention.xlsx]'Lake P Results'!O260", 7103.666)</f>
        <v>7103.6660000000002</v>
      </c>
      <c r="BC1164" s="27">
        <f>HYPERLINK("[P Only with New retention and Differentiation.xlsx]'Lake P Results'!O260", 7103.666)</f>
        <v>7103.6660000000002</v>
      </c>
      <c r="BD1164" s="18"/>
      <c r="BE1164" s="18"/>
      <c r="BF1164" s="18"/>
      <c r="BG1164" s="18"/>
      <c r="BH1164" s="18"/>
      <c r="BI1164" s="18"/>
      <c r="BJ1164" s="18"/>
      <c r="BK1164" s="18"/>
      <c r="BL1164" s="18"/>
      <c r="BM1164" s="18"/>
      <c r="BN1164" s="18"/>
      <c r="BO1164" s="18"/>
    </row>
    <row r="1165" spans="1:67" x14ac:dyDescent="0.55000000000000004">
      <c r="A1165" s="31">
        <v>651</v>
      </c>
      <c r="B1165" s="5" t="s">
        <v>573</v>
      </c>
      <c r="C1165" s="13"/>
      <c r="D1165" s="13"/>
      <c r="E1165" s="13"/>
      <c r="F1165" s="13"/>
      <c r="G1165" s="13"/>
      <c r="H1165" s="28">
        <f>HYPERLINK("[P Only Old retention.xlsx]'Lake P Results'!AM261", 1000)</f>
        <v>1000</v>
      </c>
      <c r="I1165" s="28">
        <f>HYPERLINK("[P Only New retention.xlsx]'Lake P Results'!AM261", 1100)</f>
        <v>1100</v>
      </c>
      <c r="J1165" s="28">
        <f>HYPERLINK("[P Only with New retention and Differentiation.xlsx]'Lake P Results'!AM261", 1100)</f>
        <v>1100</v>
      </c>
      <c r="K1165" s="16">
        <f>I1165-H1165</f>
        <v>100</v>
      </c>
      <c r="L1165" s="16">
        <f>J1165-H1165</f>
        <v>100</v>
      </c>
      <c r="M1165" s="29">
        <f>HYPERLINK("[P Only Old retention.xlsx]'Lake P Results'!AC261", 153.45)</f>
        <v>153.44999999999999</v>
      </c>
      <c r="N1165" s="29">
        <f>HYPERLINK("[P Only New retention.xlsx]'Lake P Results'!AC261", 153.45)</f>
        <v>153.44999999999999</v>
      </c>
      <c r="O1165" s="29">
        <f>HYPERLINK("[P Only with New retention and Differentiation.xlsx]'Lake P Results'!AC261", 153.45)</f>
        <v>153.44999999999999</v>
      </c>
      <c r="P1165" s="13"/>
      <c r="Q1165" s="13"/>
      <c r="R1165" s="29">
        <f>HYPERLINK("[P Only Old retention.xlsx]'Lake P Results'!Y261", 53.738)</f>
        <v>53.738</v>
      </c>
      <c r="S1165" s="29">
        <f>HYPERLINK("[P Only New retention.xlsx]'Lake P Results'!Y261", 53.738)</f>
        <v>53.738</v>
      </c>
      <c r="T1165" s="29">
        <f>HYPERLINK("[P Only with New retention and Differentiation.xlsx]'Lake P Results'!Y261", 53.738)</f>
        <v>53.738</v>
      </c>
      <c r="U1165" s="13"/>
      <c r="V1165" s="13"/>
      <c r="W1165" s="29">
        <f>HYPERLINK("[P Only Old retention.xlsx]'Lake P Results'!V261", 0.448)</f>
        <v>0.44800000000000001</v>
      </c>
      <c r="X1165" s="29">
        <f>HYPERLINK("[P Only New retention.xlsx]'Lake P Results'!V261", 0.448)</f>
        <v>0.44800000000000001</v>
      </c>
      <c r="Y1165" s="29">
        <f>HYPERLINK("[P Only with New retention and Differentiation.xlsx]'Lake P Results'!V261", 0.448)</f>
        <v>0.44800000000000001</v>
      </c>
      <c r="Z1165" s="13"/>
      <c r="AA1165" s="13"/>
      <c r="AB1165" s="13"/>
      <c r="AC1165" s="13"/>
      <c r="AD1165" s="13"/>
      <c r="AE1165" s="13"/>
      <c r="AF1165" s="13"/>
      <c r="AG1165" s="29">
        <f>HYPERLINK("[P Only Old retention.xlsx]'Lake P Results'!AA261", 6.21)</f>
        <v>6.21</v>
      </c>
      <c r="AH1165" s="29">
        <f>HYPERLINK("[P Only New retention.xlsx]'Lake P Results'!AA261", 6.21)</f>
        <v>6.21</v>
      </c>
      <c r="AI1165" s="29">
        <f>HYPERLINK("[P Only with New retention and Differentiation.xlsx]'Lake P Results'!AA261", 6.21)</f>
        <v>6.21</v>
      </c>
      <c r="AJ1165" s="13"/>
      <c r="AK1165" s="13"/>
      <c r="AL1165" s="13"/>
      <c r="AM1165" s="13"/>
      <c r="AN1165" s="13"/>
      <c r="AO1165" s="13"/>
      <c r="AP1165" s="13"/>
      <c r="AQ1165" s="28">
        <f>HYPERLINK("[P Only Old retention.xlsx]'Lake P Results'!AH261", 200)</f>
        <v>200</v>
      </c>
      <c r="AR1165" s="28">
        <f>HYPERLINK("[P Only New retention.xlsx]'Lake P Results'!AH261", 200)</f>
        <v>200</v>
      </c>
      <c r="AS1165" s="28">
        <f>HYPERLINK("[P Only with New retention and Differentiation.xlsx]'Lake P Results'!AH261", 200)</f>
        <v>200</v>
      </c>
      <c r="AT1165" s="13"/>
      <c r="AU1165" s="13"/>
      <c r="AV1165" s="13"/>
      <c r="AW1165" s="13"/>
      <c r="AX1165" s="13"/>
      <c r="AY1165" s="13"/>
      <c r="AZ1165" s="13"/>
      <c r="BA1165" s="13"/>
      <c r="BB1165" s="13"/>
      <c r="BC1165" s="13"/>
      <c r="BD1165" s="13"/>
      <c r="BE1165" s="13"/>
      <c r="BF1165" s="13"/>
      <c r="BG1165" s="13"/>
      <c r="BH1165" s="13"/>
      <c r="BI1165" s="13"/>
      <c r="BJ1165" s="13"/>
      <c r="BK1165" s="13"/>
      <c r="BL1165" s="13"/>
      <c r="BM1165" s="13"/>
      <c r="BN1165" s="13"/>
      <c r="BO1165" s="13"/>
    </row>
    <row r="1166" spans="1:67" x14ac:dyDescent="0.55000000000000004">
      <c r="A1166" s="30">
        <v>654</v>
      </c>
      <c r="B1166" s="6" t="s">
        <v>574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/>
      <c r="AS1166" s="18"/>
      <c r="AT1166" s="18"/>
      <c r="AU1166" s="18"/>
      <c r="AV1166" s="18"/>
      <c r="AW1166" s="18"/>
      <c r="AX1166" s="18"/>
      <c r="AY1166" s="18"/>
      <c r="AZ1166" s="18"/>
      <c r="BA1166" s="18"/>
      <c r="BB1166" s="18"/>
      <c r="BC1166" s="18"/>
      <c r="BD1166" s="18"/>
      <c r="BE1166" s="18"/>
      <c r="BF1166" s="18"/>
      <c r="BG1166" s="18"/>
      <c r="BH1166" s="18"/>
      <c r="BI1166" s="18"/>
      <c r="BJ1166" s="18"/>
      <c r="BK1166" s="18"/>
      <c r="BL1166" s="18"/>
      <c r="BM1166" s="18"/>
      <c r="BN1166" s="18"/>
      <c r="BO1166" s="18"/>
    </row>
    <row r="1167" spans="1:67" x14ac:dyDescent="0.55000000000000004">
      <c r="A1167" s="31">
        <v>655</v>
      </c>
      <c r="B1167" s="5" t="s">
        <v>575</v>
      </c>
      <c r="C1167" s="29">
        <f>HYPERLINK("[P Only Old retention.xlsx]'Lake P Results'!AE263", 5.882)</f>
        <v>5.8819999999999997</v>
      </c>
      <c r="D1167" s="29">
        <f>HYPERLINK("[P Only New retention.xlsx]'Lake P Results'!AE263", 5.882)</f>
        <v>5.8819999999999997</v>
      </c>
      <c r="E1167" s="29">
        <f>HYPERLINK("[P Only with New retention and Differentiation.xlsx]'Lake P Results'!AE263", 5.882)</f>
        <v>5.8819999999999997</v>
      </c>
      <c r="F1167" s="13"/>
      <c r="G1167" s="13"/>
      <c r="H1167" s="28">
        <f>HYPERLINK("[P Only Old retention.xlsx]'Lake P Results'!AM263", 125500)</f>
        <v>125500</v>
      </c>
      <c r="I1167" s="28">
        <f>HYPERLINK("[P Only New retention.xlsx]'Lake P Results'!AM263", 125500)</f>
        <v>125500</v>
      </c>
      <c r="J1167" s="28">
        <f>HYPERLINK("[P Only with New retention and Differentiation.xlsx]'Lake P Results'!AM263", 125500)</f>
        <v>125500</v>
      </c>
      <c r="K1167" s="13"/>
      <c r="L1167" s="13"/>
      <c r="M1167" s="29">
        <f>HYPERLINK("[P Only Old retention.xlsx]'Lake P Results'!AC263", 72.98)</f>
        <v>72.98</v>
      </c>
      <c r="N1167" s="29">
        <f>HYPERLINK("[P Only New retention.xlsx]'Lake P Results'!AC263", 76.914)</f>
        <v>76.914000000000001</v>
      </c>
      <c r="O1167" s="29">
        <f>HYPERLINK("[P Only with New retention and Differentiation.xlsx]'Lake P Results'!AC263", 81.984)</f>
        <v>81.983999999999995</v>
      </c>
      <c r="P1167" s="46">
        <f>N1167-M1167</f>
        <v>3.9339999999999975</v>
      </c>
      <c r="Q1167" s="46">
        <f>O1167-M1167</f>
        <v>9.0039999999999907</v>
      </c>
      <c r="R1167" s="29">
        <f>HYPERLINK("[P Only Old retention.xlsx]'Lake P Results'!Y263", 767.814)</f>
        <v>767.81399999999996</v>
      </c>
      <c r="S1167" s="29">
        <f>HYPERLINK("[P Only New retention.xlsx]'Lake P Results'!Y263", 791.62)</f>
        <v>791.62</v>
      </c>
      <c r="T1167" s="29">
        <f>HYPERLINK("[P Only with New retention and Differentiation.xlsx]'Lake P Results'!Y263", 813.586)</f>
        <v>813.58600000000001</v>
      </c>
      <c r="U1167" s="46">
        <f>S1167-R1167</f>
        <v>23.80600000000004</v>
      </c>
      <c r="V1167" s="46">
        <f>T1167-R1167</f>
        <v>45.772000000000048</v>
      </c>
      <c r="W1167" s="29">
        <f>HYPERLINK("[P Only Old retention.xlsx]'Lake P Results'!V263", 608.328)</f>
        <v>608.32799999999997</v>
      </c>
      <c r="X1167" s="29">
        <f>HYPERLINK("[P Only New retention.xlsx]'Lake P Results'!V263", 608.328)</f>
        <v>608.32799999999997</v>
      </c>
      <c r="Y1167" s="29">
        <f>HYPERLINK("[P Only with New retention and Differentiation.xlsx]'Lake P Results'!V263", 608.328)</f>
        <v>608.32799999999997</v>
      </c>
      <c r="Z1167" s="13"/>
      <c r="AA1167" s="13"/>
      <c r="AB1167" s="29">
        <f>HYPERLINK("[P Only Old retention.xlsx]'Lake P Results'!Z263", 94.932)</f>
        <v>94.932000000000002</v>
      </c>
      <c r="AC1167" s="29">
        <f>HYPERLINK("[P Only New retention.xlsx]'Lake P Results'!Z263", 67.192)</f>
        <v>67.191999999999993</v>
      </c>
      <c r="AD1167" s="29">
        <f>HYPERLINK("[P Only with New retention and Differentiation.xlsx]'Lake P Results'!Z263", 40.156)</f>
        <v>40.155999999999999</v>
      </c>
      <c r="AE1167" s="47">
        <f>AC1167-AB1167</f>
        <v>-27.740000000000009</v>
      </c>
      <c r="AF1167" s="47">
        <f>AD1167-AB1167</f>
        <v>-54.776000000000003</v>
      </c>
      <c r="AG1167" s="29">
        <f>HYPERLINK("[P Only Old retention.xlsx]'Lake P Results'!AA263", 16.268)</f>
        <v>16.268000000000001</v>
      </c>
      <c r="AH1167" s="29">
        <f>HYPERLINK("[P Only New retention.xlsx]'Lake P Results'!AA263", 16.268)</f>
        <v>16.268000000000001</v>
      </c>
      <c r="AI1167" s="29">
        <f>HYPERLINK("[P Only with New retention and Differentiation.xlsx]'Lake P Results'!AA263", 16.268)</f>
        <v>16.268000000000001</v>
      </c>
      <c r="AJ1167" s="13"/>
      <c r="AK1167" s="13"/>
      <c r="AL1167" s="29">
        <f>HYPERLINK("[P Only Old retention.xlsx]'Lake P Results'!AF263", 0.690000000000001)</f>
        <v>0.69000000000000095</v>
      </c>
      <c r="AM1167" s="29">
        <f>HYPERLINK("[P Only New retention.xlsx]'Lake P Results'!AF263", 0.690000000000001)</f>
        <v>0.69000000000000095</v>
      </c>
      <c r="AN1167" s="29">
        <f>HYPERLINK("[P Only with New retention and Differentiation.xlsx]'Lake P Results'!AF263", 0.690000000000001)</f>
        <v>0.69000000000000095</v>
      </c>
      <c r="AO1167" s="13"/>
      <c r="AP1167" s="13"/>
      <c r="AQ1167" s="28">
        <f>HYPERLINK("[P Only Old retention.xlsx]'Lake P Results'!AH263", 5139.99999999995)</f>
        <v>5139.99999999995</v>
      </c>
      <c r="AR1167" s="28">
        <f>HYPERLINK("[P Only New retention.xlsx]'Lake P Results'!AH263", 5139.99999999995)</f>
        <v>5139.99999999995</v>
      </c>
      <c r="AS1167" s="28">
        <f>HYPERLINK("[P Only with New retention and Differentiation.xlsx]'Lake P Results'!AH263", 5139.99999999995)</f>
        <v>5139.99999999995</v>
      </c>
      <c r="AT1167" s="13"/>
      <c r="AU1167" s="13"/>
      <c r="AV1167" s="29">
        <f>HYPERLINK("[P Only Old retention.xlsx]'Lake P Results'!M263", 429.82)</f>
        <v>429.82</v>
      </c>
      <c r="AW1167" s="29">
        <f>HYPERLINK("[P Only New retention.xlsx]'Lake P Results'!M263", 429.82)</f>
        <v>429.82</v>
      </c>
      <c r="AX1167" s="29">
        <f>HYPERLINK("[P Only with New retention and Differentiation.xlsx]'Lake P Results'!M263", 429.82)</f>
        <v>429.82</v>
      </c>
      <c r="AY1167" s="13"/>
      <c r="AZ1167" s="13"/>
      <c r="BA1167" s="29">
        <f>HYPERLINK("[P Only Old retention.xlsx]'Lake P Results'!O263", 5234.37944760751)</f>
        <v>5234.37944760751</v>
      </c>
      <c r="BB1167" s="29">
        <f>HYPERLINK("[P Only New retention.xlsx]'Lake P Results'!O263", 5234.37944760751)</f>
        <v>5234.37944760751</v>
      </c>
      <c r="BC1167" s="29">
        <f>HYPERLINK("[P Only with New retention and Differentiation.xlsx]'Lake P Results'!O263", 5234.37944760751)</f>
        <v>5234.37944760751</v>
      </c>
      <c r="BD1167" s="13"/>
      <c r="BE1167" s="13"/>
      <c r="BF1167" s="13"/>
      <c r="BG1167" s="13"/>
      <c r="BH1167" s="13"/>
      <c r="BI1167" s="13"/>
      <c r="BJ1167" s="13"/>
      <c r="BK1167" s="13"/>
      <c r="BL1167" s="13"/>
      <c r="BM1167" s="13"/>
      <c r="BN1167" s="13"/>
      <c r="BO1167" s="13"/>
    </row>
    <row r="1168" spans="1:67" x14ac:dyDescent="0.55000000000000004">
      <c r="A1168" s="30">
        <v>656</v>
      </c>
      <c r="B1168" s="6" t="s">
        <v>576</v>
      </c>
      <c r="C1168" s="18"/>
      <c r="D1168" s="18"/>
      <c r="E1168" s="18"/>
      <c r="F1168" s="18"/>
      <c r="G1168" s="18"/>
      <c r="H1168" s="26">
        <f>HYPERLINK("[P Only Old retention.xlsx]'Lake P Results'!AM264", 4000)</f>
        <v>4000</v>
      </c>
      <c r="I1168" s="26">
        <f>HYPERLINK("[P Only New retention.xlsx]'Lake P Results'!AM264", 4000)</f>
        <v>4000</v>
      </c>
      <c r="J1168" s="26">
        <f>HYPERLINK("[P Only with New retention and Differentiation.xlsx]'Lake P Results'!AM264", 4000)</f>
        <v>4000</v>
      </c>
      <c r="K1168" s="18"/>
      <c r="L1168" s="18"/>
      <c r="M1168" s="18"/>
      <c r="N1168" s="18"/>
      <c r="O1168" s="18"/>
      <c r="P1168" s="18"/>
      <c r="Q1168" s="18"/>
      <c r="R1168" s="27">
        <f>HYPERLINK("[P Only Old retention.xlsx]'Lake P Results'!Y264", 54.22)</f>
        <v>54.22</v>
      </c>
      <c r="S1168" s="27">
        <f>HYPERLINK("[P Only New retention.xlsx]'Lake P Results'!Y264", 54.22)</f>
        <v>54.22</v>
      </c>
      <c r="T1168" s="27">
        <f>HYPERLINK("[P Only with New retention and Differentiation.xlsx]'Lake P Results'!Y264", 54.22)</f>
        <v>54.22</v>
      </c>
      <c r="U1168" s="18"/>
      <c r="V1168" s="18"/>
      <c r="W1168" s="27">
        <f>HYPERLINK("[P Only Old retention.xlsx]'Lake P Results'!V264", 12.33)</f>
        <v>12.33</v>
      </c>
      <c r="X1168" s="27">
        <f>HYPERLINK("[P Only New retention.xlsx]'Lake P Results'!V264", 12.33)</f>
        <v>12.33</v>
      </c>
      <c r="Y1168" s="27">
        <f>HYPERLINK("[P Only with New retention and Differentiation.xlsx]'Lake P Results'!V264", 12.33)</f>
        <v>12.33</v>
      </c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  <c r="AO1168" s="18"/>
      <c r="AP1168" s="18"/>
      <c r="AQ1168" s="26">
        <f>HYPERLINK("[P Only Old retention.xlsx]'Lake P Results'!AH264", 210)</f>
        <v>210</v>
      </c>
      <c r="AR1168" s="26">
        <f>HYPERLINK("[P Only New retention.xlsx]'Lake P Results'!AH264", 210)</f>
        <v>210</v>
      </c>
      <c r="AS1168" s="26">
        <f>HYPERLINK("[P Only with New retention and Differentiation.xlsx]'Lake P Results'!AH264", 210)</f>
        <v>210</v>
      </c>
      <c r="AT1168" s="18"/>
      <c r="AU1168" s="18"/>
      <c r="AV1168" s="18"/>
      <c r="AW1168" s="18"/>
      <c r="AX1168" s="18"/>
      <c r="AY1168" s="18"/>
      <c r="AZ1168" s="18"/>
      <c r="BA1168" s="27">
        <f>HYPERLINK("[P Only Old retention.xlsx]'Lake P Results'!O264", 166.796)</f>
        <v>166.79599999999999</v>
      </c>
      <c r="BB1168" s="27">
        <f>HYPERLINK("[P Only New retention.xlsx]'Lake P Results'!O264", 166.796)</f>
        <v>166.79599999999999</v>
      </c>
      <c r="BC1168" s="27">
        <f>HYPERLINK("[P Only with New retention and Differentiation.xlsx]'Lake P Results'!O264", 166.796)</f>
        <v>166.79599999999999</v>
      </c>
      <c r="BD1168" s="18"/>
      <c r="BE1168" s="18"/>
      <c r="BF1168" s="18"/>
      <c r="BG1168" s="18"/>
      <c r="BH1168" s="18"/>
      <c r="BI1168" s="18"/>
      <c r="BJ1168" s="18"/>
      <c r="BK1168" s="18"/>
      <c r="BL1168" s="18"/>
      <c r="BM1168" s="18"/>
      <c r="BN1168" s="18"/>
      <c r="BO1168" s="18"/>
    </row>
    <row r="1169" spans="1:67" x14ac:dyDescent="0.55000000000000004">
      <c r="A1169" s="31">
        <v>658</v>
      </c>
      <c r="B1169" s="5" t="s">
        <v>577</v>
      </c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  <c r="AW1169" s="13"/>
      <c r="AX1169" s="13"/>
      <c r="AY1169" s="13"/>
      <c r="AZ1169" s="13"/>
      <c r="BA1169" s="13"/>
      <c r="BB1169" s="13"/>
      <c r="BC1169" s="13"/>
      <c r="BD1169" s="13"/>
      <c r="BE1169" s="13"/>
      <c r="BF1169" s="13"/>
      <c r="BG1169" s="13"/>
      <c r="BH1169" s="13"/>
      <c r="BI1169" s="13"/>
      <c r="BJ1169" s="13"/>
      <c r="BK1169" s="13"/>
      <c r="BL1169" s="13"/>
      <c r="BM1169" s="13"/>
      <c r="BN1169" s="13"/>
      <c r="BO1169" s="13"/>
    </row>
    <row r="1170" spans="1:67" x14ac:dyDescent="0.55000000000000004">
      <c r="A1170" s="30">
        <v>659</v>
      </c>
      <c r="B1170" s="6" t="s">
        <v>578</v>
      </c>
      <c r="C1170" s="18"/>
      <c r="D1170" s="18"/>
      <c r="E1170" s="18"/>
      <c r="F1170" s="18"/>
      <c r="G1170" s="18"/>
      <c r="H1170" s="26">
        <f>HYPERLINK("[P Only Old retention.xlsx]'Lake P Results'!AM266", 1100)</f>
        <v>1100</v>
      </c>
      <c r="I1170" s="26">
        <f>HYPERLINK("[P Only New retention.xlsx]'Lake P Results'!AM266", 1100)</f>
        <v>1100</v>
      </c>
      <c r="J1170" s="26">
        <f>HYPERLINK("[P Only with New retention and Differentiation.xlsx]'Lake P Results'!AM266", 1100)</f>
        <v>1100</v>
      </c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/>
      <c r="AQ1170" s="26">
        <f>HYPERLINK("[P Only Old retention.xlsx]'Lake P Results'!AH266", 90)</f>
        <v>90</v>
      </c>
      <c r="AR1170" s="26">
        <f>HYPERLINK("[P Only New retention.xlsx]'Lake P Results'!AH266", 90)</f>
        <v>90</v>
      </c>
      <c r="AS1170" s="26">
        <f>HYPERLINK("[P Only with New retention and Differentiation.xlsx]'Lake P Results'!AH266", 90)</f>
        <v>90</v>
      </c>
      <c r="AT1170" s="18"/>
      <c r="AU1170" s="18"/>
      <c r="AV1170" s="18"/>
      <c r="AW1170" s="18"/>
      <c r="AX1170" s="18"/>
      <c r="AY1170" s="18"/>
      <c r="AZ1170" s="18"/>
      <c r="BA1170" s="27">
        <f>HYPERLINK("[P Only Old retention.xlsx]'Lake P Results'!O266", 155.71)</f>
        <v>155.71</v>
      </c>
      <c r="BB1170" s="27">
        <f>HYPERLINK("[P Only New retention.xlsx]'Lake P Results'!O266", 155.71)</f>
        <v>155.71</v>
      </c>
      <c r="BC1170" s="27">
        <f>HYPERLINK("[P Only with New retention and Differentiation.xlsx]'Lake P Results'!O266", 155.71)</f>
        <v>155.71</v>
      </c>
      <c r="BD1170" s="18"/>
      <c r="BE1170" s="18"/>
      <c r="BF1170" s="18"/>
      <c r="BG1170" s="18"/>
      <c r="BH1170" s="18"/>
      <c r="BI1170" s="18"/>
      <c r="BJ1170" s="18"/>
      <c r="BK1170" s="18"/>
      <c r="BL1170" s="18"/>
      <c r="BM1170" s="18"/>
      <c r="BN1170" s="18"/>
      <c r="BO1170" s="18"/>
    </row>
    <row r="1171" spans="1:67" x14ac:dyDescent="0.55000000000000004">
      <c r="A1171" s="31">
        <v>660</v>
      </c>
      <c r="B1171" s="5" t="s">
        <v>579</v>
      </c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  <c r="AW1171" s="13"/>
      <c r="AX1171" s="13"/>
      <c r="AY1171" s="13"/>
      <c r="AZ1171" s="13"/>
      <c r="BA1171" s="13"/>
      <c r="BB1171" s="13"/>
      <c r="BC1171" s="13"/>
      <c r="BD1171" s="13"/>
      <c r="BE1171" s="13"/>
      <c r="BF1171" s="13"/>
      <c r="BG1171" s="13"/>
      <c r="BH1171" s="13"/>
      <c r="BI1171" s="13"/>
      <c r="BJ1171" s="13"/>
      <c r="BK1171" s="13"/>
      <c r="BL1171" s="13"/>
      <c r="BM1171" s="13"/>
      <c r="BN1171" s="13"/>
      <c r="BO1171" s="13"/>
    </row>
    <row r="1172" spans="1:67" x14ac:dyDescent="0.55000000000000004">
      <c r="A1172" s="30">
        <v>662</v>
      </c>
      <c r="B1172" s="6" t="s">
        <v>580</v>
      </c>
      <c r="C1172" s="18"/>
      <c r="D1172" s="18"/>
      <c r="E1172" s="18"/>
      <c r="F1172" s="18"/>
      <c r="G1172" s="18"/>
      <c r="H1172" s="26">
        <f>HYPERLINK("[P Only Old retention.xlsx]'Lake P Results'!AM268", 200)</f>
        <v>200</v>
      </c>
      <c r="I1172" s="26">
        <f>HYPERLINK("[P Only New retention.xlsx]'Lake P Results'!AM268", 200)</f>
        <v>200</v>
      </c>
      <c r="J1172" s="26">
        <f>HYPERLINK("[P Only with New retention and Differentiation.xlsx]'Lake P Results'!AM268", 200)</f>
        <v>200</v>
      </c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  <c r="AO1172" s="18"/>
      <c r="AP1172" s="18"/>
      <c r="AQ1172" s="18"/>
      <c r="AR1172" s="18"/>
      <c r="AS1172" s="18"/>
      <c r="AT1172" s="18"/>
      <c r="AU1172" s="18"/>
      <c r="AV1172" s="18"/>
      <c r="AW1172" s="18"/>
      <c r="AX1172" s="18"/>
      <c r="AY1172" s="18"/>
      <c r="AZ1172" s="18"/>
      <c r="BA1172" s="18"/>
      <c r="BB1172" s="18"/>
      <c r="BC1172" s="18"/>
      <c r="BD1172" s="18"/>
      <c r="BE1172" s="18"/>
      <c r="BF1172" s="18"/>
      <c r="BG1172" s="18"/>
      <c r="BH1172" s="18"/>
      <c r="BI1172" s="18"/>
      <c r="BJ1172" s="18"/>
      <c r="BK1172" s="18"/>
      <c r="BL1172" s="18"/>
      <c r="BM1172" s="18"/>
      <c r="BN1172" s="18"/>
      <c r="BO1172" s="18"/>
    </row>
    <row r="1173" spans="1:67" x14ac:dyDescent="0.55000000000000004">
      <c r="A1173" s="31">
        <v>666</v>
      </c>
      <c r="B1173" s="5" t="s">
        <v>581</v>
      </c>
      <c r="C1173" s="29">
        <f>HYPERLINK("[P Only Old retention.xlsx]'Lake P Results'!AE269", 0.07)</f>
        <v>7.0000000000000007E-2</v>
      </c>
      <c r="D1173" s="29">
        <f>HYPERLINK("[P Only New retention.xlsx]'Lake P Results'!AE269", 0.07)</f>
        <v>7.0000000000000007E-2</v>
      </c>
      <c r="E1173" s="29">
        <f>HYPERLINK("[P Only with New retention and Differentiation.xlsx]'Lake P Results'!AE269", 0.07)</f>
        <v>7.0000000000000007E-2</v>
      </c>
      <c r="F1173" s="13"/>
      <c r="G1173" s="13"/>
      <c r="H1173" s="28">
        <f>HYPERLINK("[P Only Old retention.xlsx]'Lake P Results'!AM269", 2500)</f>
        <v>2500</v>
      </c>
      <c r="I1173" s="28">
        <f>HYPERLINK("[P Only New retention.xlsx]'Lake P Results'!AM269", 2500)</f>
        <v>2500</v>
      </c>
      <c r="J1173" s="28">
        <f>HYPERLINK("[P Only with New retention and Differentiation.xlsx]'Lake P Results'!AM269", 2500)</f>
        <v>2500</v>
      </c>
      <c r="K1173" s="13"/>
      <c r="L1173" s="13"/>
      <c r="M1173" s="29">
        <f>HYPERLINK("[P Only Old retention.xlsx]'Lake P Results'!AC269", 8.374)</f>
        <v>8.3740000000000006</v>
      </c>
      <c r="N1173" s="29">
        <f>HYPERLINK("[P Only New retention.xlsx]'Lake P Results'!AC269", 8.3)</f>
        <v>8.3000000000000007</v>
      </c>
      <c r="O1173" s="29">
        <f>HYPERLINK("[P Only with New retention and Differentiation.xlsx]'Lake P Results'!AC269", 8.3)</f>
        <v>8.3000000000000007</v>
      </c>
      <c r="P1173" s="47">
        <f>N1173-M1173</f>
        <v>-7.3999999999999844E-2</v>
      </c>
      <c r="Q1173" s="47">
        <f>O1173-M1173</f>
        <v>-7.3999999999999844E-2</v>
      </c>
      <c r="R1173" s="29">
        <f>HYPERLINK("[P Only Old retention.xlsx]'Lake P Results'!Y269", 11.34)</f>
        <v>11.34</v>
      </c>
      <c r="S1173" s="29">
        <f>HYPERLINK("[P Only New retention.xlsx]'Lake P Results'!Y269", 9.484)</f>
        <v>9.484</v>
      </c>
      <c r="T1173" s="29">
        <f>HYPERLINK("[P Only with New retention and Differentiation.xlsx]'Lake P Results'!Y269", 11.414)</f>
        <v>11.414</v>
      </c>
      <c r="U1173" s="47">
        <f>S1173-R1173</f>
        <v>-1.8559999999999999</v>
      </c>
      <c r="V1173" s="46">
        <f>T1173-R1173</f>
        <v>7.3999999999999844E-2</v>
      </c>
      <c r="W1173" s="29">
        <f>HYPERLINK("[P Only Old retention.xlsx]'Lake P Results'!V269", 16.11)</f>
        <v>16.11</v>
      </c>
      <c r="X1173" s="29">
        <f>HYPERLINK("[P Only New retention.xlsx]'Lake P Results'!V269", 16.11)</f>
        <v>16.11</v>
      </c>
      <c r="Y1173" s="29">
        <f>HYPERLINK("[P Only with New retention and Differentiation.xlsx]'Lake P Results'!V269", 16.11)</f>
        <v>16.11</v>
      </c>
      <c r="Z1173" s="13"/>
      <c r="AA1173" s="13"/>
      <c r="AB1173" s="29">
        <f>HYPERLINK("[P Only Old retention.xlsx]'Lake P Results'!Z269", 2.85)</f>
        <v>2.85</v>
      </c>
      <c r="AC1173" s="29">
        <f>HYPERLINK("[P Only New retention.xlsx]'Lake P Results'!Z269", 4.78)</f>
        <v>4.78</v>
      </c>
      <c r="AD1173" s="29">
        <f>HYPERLINK("[P Only with New retention and Differentiation.xlsx]'Lake P Results'!Z269", 2.85)</f>
        <v>2.85</v>
      </c>
      <c r="AE1173" s="46">
        <f>AC1173-AB1173</f>
        <v>1.9300000000000002</v>
      </c>
      <c r="AF1173" s="13"/>
      <c r="AG1173" s="29">
        <f>HYPERLINK("[P Only Old retention.xlsx]'Lake P Results'!AA269", 0.848)</f>
        <v>0.84799999999999998</v>
      </c>
      <c r="AH1173" s="29">
        <f>HYPERLINK("[P Only New retention.xlsx]'Lake P Results'!AA269", 0.848)</f>
        <v>0.84799999999999998</v>
      </c>
      <c r="AI1173" s="29">
        <f>HYPERLINK("[P Only with New retention and Differentiation.xlsx]'Lake P Results'!AA269", 0.848)</f>
        <v>0.84799999999999998</v>
      </c>
      <c r="AJ1173" s="13"/>
      <c r="AK1173" s="13"/>
      <c r="AL1173" s="13"/>
      <c r="AM1173" s="13"/>
      <c r="AN1173" s="13"/>
      <c r="AO1173" s="13"/>
      <c r="AP1173" s="13"/>
      <c r="AQ1173" s="28">
        <f>HYPERLINK("[P Only Old retention.xlsx]'Lake P Results'!AH269", 90)</f>
        <v>90</v>
      </c>
      <c r="AR1173" s="28">
        <f>HYPERLINK("[P Only New retention.xlsx]'Lake P Results'!AH269", 90)</f>
        <v>90</v>
      </c>
      <c r="AS1173" s="28">
        <f>HYPERLINK("[P Only with New retention and Differentiation.xlsx]'Lake P Results'!AH269", 90)</f>
        <v>90</v>
      </c>
      <c r="AT1173" s="13"/>
      <c r="AU1173" s="13"/>
      <c r="AV1173" s="13"/>
      <c r="AW1173" s="13"/>
      <c r="AX1173" s="13"/>
      <c r="AY1173" s="13"/>
      <c r="AZ1173" s="13"/>
      <c r="BA1173" s="29">
        <f>HYPERLINK("[P Only Old retention.xlsx]'Lake P Results'!O269", 104.024)</f>
        <v>104.024</v>
      </c>
      <c r="BB1173" s="29">
        <f>HYPERLINK("[P Only New retention.xlsx]'Lake P Results'!O269", 104.024)</f>
        <v>104.024</v>
      </c>
      <c r="BC1173" s="29">
        <f>HYPERLINK("[P Only with New retention and Differentiation.xlsx]'Lake P Results'!O269", 104.024)</f>
        <v>104.024</v>
      </c>
      <c r="BD1173" s="13"/>
      <c r="BE1173" s="13"/>
      <c r="BF1173" s="13"/>
      <c r="BG1173" s="13"/>
      <c r="BH1173" s="13"/>
      <c r="BI1173" s="13"/>
      <c r="BJ1173" s="13"/>
      <c r="BK1173" s="13"/>
      <c r="BL1173" s="13"/>
      <c r="BM1173" s="13"/>
      <c r="BN1173" s="13"/>
      <c r="BO1173" s="13"/>
    </row>
    <row r="1174" spans="1:67" x14ac:dyDescent="0.55000000000000004">
      <c r="A1174" s="30">
        <v>669</v>
      </c>
      <c r="B1174" s="6" t="s">
        <v>582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  <c r="AO1174" s="18"/>
      <c r="AP1174" s="18"/>
      <c r="AQ1174" s="18"/>
      <c r="AR1174" s="18"/>
      <c r="AS1174" s="18"/>
      <c r="AT1174" s="18"/>
      <c r="AU1174" s="18"/>
      <c r="AV1174" s="18"/>
      <c r="AW1174" s="18"/>
      <c r="AX1174" s="18"/>
      <c r="AY1174" s="18"/>
      <c r="AZ1174" s="18"/>
      <c r="BA1174" s="18"/>
      <c r="BB1174" s="18"/>
      <c r="BC1174" s="18"/>
      <c r="BD1174" s="18"/>
      <c r="BE1174" s="18"/>
      <c r="BF1174" s="18"/>
      <c r="BG1174" s="18"/>
      <c r="BH1174" s="18"/>
      <c r="BI1174" s="18"/>
      <c r="BJ1174" s="18"/>
      <c r="BK1174" s="18"/>
      <c r="BL1174" s="18"/>
      <c r="BM1174" s="18"/>
      <c r="BN1174" s="18"/>
      <c r="BO1174" s="18"/>
    </row>
    <row r="1175" spans="1:67" x14ac:dyDescent="0.55000000000000004">
      <c r="A1175" s="31">
        <v>673</v>
      </c>
      <c r="B1175" s="5" t="s">
        <v>583</v>
      </c>
      <c r="C1175" s="13"/>
      <c r="D1175" s="13"/>
      <c r="E1175" s="13"/>
      <c r="F1175" s="13"/>
      <c r="G1175" s="13"/>
      <c r="H1175" s="28">
        <f>HYPERLINK("[P Only Old retention.xlsx]'Lake P Results'!AM271", 1600)</f>
        <v>1600</v>
      </c>
      <c r="I1175" s="28">
        <f>HYPERLINK("[P Only New retention.xlsx]'Lake P Results'!AM271", 1600)</f>
        <v>1600</v>
      </c>
      <c r="J1175" s="28">
        <f>HYPERLINK("[P Only with New retention and Differentiation.xlsx]'Lake P Results'!AM271", 1600)</f>
        <v>1600</v>
      </c>
      <c r="K1175" s="13"/>
      <c r="L1175" s="13"/>
      <c r="M1175" s="13"/>
      <c r="N1175" s="13"/>
      <c r="O1175" s="13"/>
      <c r="P1175" s="13"/>
      <c r="Q1175" s="13"/>
      <c r="R1175" s="29">
        <f>HYPERLINK("[P Only Old retention.xlsx]'Lake P Results'!Y271", 0.66)</f>
        <v>0.66</v>
      </c>
      <c r="S1175" s="29">
        <f>HYPERLINK("[P Only New retention.xlsx]'Lake P Results'!Y271", 0.66)</f>
        <v>0.66</v>
      </c>
      <c r="T1175" s="29">
        <f>HYPERLINK("[P Only with New retention and Differentiation.xlsx]'Lake P Results'!Y271", 0.66)</f>
        <v>0.66</v>
      </c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28">
        <f>HYPERLINK("[P Only Old retention.xlsx]'Lake P Results'!AH271", 190)</f>
        <v>190</v>
      </c>
      <c r="AR1175" s="28">
        <f>HYPERLINK("[P Only New retention.xlsx]'Lake P Results'!AH271", 190)</f>
        <v>190</v>
      </c>
      <c r="AS1175" s="28">
        <f>HYPERLINK("[P Only with New retention and Differentiation.xlsx]'Lake P Results'!AH271", 190)</f>
        <v>190</v>
      </c>
      <c r="AT1175" s="13"/>
      <c r="AU1175" s="13"/>
      <c r="AV1175" s="13"/>
      <c r="AW1175" s="13"/>
      <c r="AX1175" s="13"/>
      <c r="AY1175" s="13"/>
      <c r="AZ1175" s="13"/>
      <c r="BA1175" s="29">
        <f>HYPERLINK("[P Only Old retention.xlsx]'Lake P Results'!O271", 213.862)</f>
        <v>213.86199999999999</v>
      </c>
      <c r="BB1175" s="29">
        <f>HYPERLINK("[P Only New retention.xlsx]'Lake P Results'!O271", 213.862)</f>
        <v>213.86199999999999</v>
      </c>
      <c r="BC1175" s="29">
        <f>HYPERLINK("[P Only with New retention and Differentiation.xlsx]'Lake P Results'!O271", 213.862)</f>
        <v>213.86199999999999</v>
      </c>
      <c r="BD1175" s="13"/>
      <c r="BE1175" s="13"/>
      <c r="BF1175" s="13"/>
      <c r="BG1175" s="13"/>
      <c r="BH1175" s="13"/>
      <c r="BI1175" s="13"/>
      <c r="BJ1175" s="13"/>
      <c r="BK1175" s="13"/>
      <c r="BL1175" s="13"/>
      <c r="BM1175" s="13"/>
      <c r="BN1175" s="13"/>
      <c r="BO1175" s="13"/>
    </row>
    <row r="1176" spans="1:67" x14ac:dyDescent="0.55000000000000004">
      <c r="A1176" s="30">
        <v>674</v>
      </c>
      <c r="B1176" s="6" t="s">
        <v>584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27">
        <f>HYPERLINK("[P Only Old retention.xlsx]'Lake P Results'!Y272", 30.556)</f>
        <v>30.556000000000001</v>
      </c>
      <c r="S1176" s="27">
        <f>HYPERLINK("[P Only New retention.xlsx]'Lake P Results'!Y272", 30.556)</f>
        <v>30.556000000000001</v>
      </c>
      <c r="T1176" s="27">
        <f>HYPERLINK("[P Only with New retention and Differentiation.xlsx]'Lake P Results'!Y272", 30.556)</f>
        <v>30.556000000000001</v>
      </c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  <c r="AO1176" s="18"/>
      <c r="AP1176" s="18"/>
      <c r="AQ1176" s="26">
        <f>HYPERLINK("[P Only Old retention.xlsx]'Lake P Results'!AH272", 90)</f>
        <v>90</v>
      </c>
      <c r="AR1176" s="26">
        <f>HYPERLINK("[P Only New retention.xlsx]'Lake P Results'!AH272", 90)</f>
        <v>90</v>
      </c>
      <c r="AS1176" s="26">
        <f>HYPERLINK("[P Only with New retention and Differentiation.xlsx]'Lake P Results'!AH272", 90)</f>
        <v>90</v>
      </c>
      <c r="AT1176" s="18"/>
      <c r="AU1176" s="18"/>
      <c r="AV1176" s="18"/>
      <c r="AW1176" s="18"/>
      <c r="AX1176" s="18"/>
      <c r="AY1176" s="18"/>
      <c r="AZ1176" s="18"/>
      <c r="BA1176" s="27">
        <f>HYPERLINK("[P Only Old retention.xlsx]'Lake P Results'!O272", 64.698)</f>
        <v>64.697999999999993</v>
      </c>
      <c r="BB1176" s="27">
        <f>HYPERLINK("[P Only New retention.xlsx]'Lake P Results'!O272", 64.698)</f>
        <v>64.697999999999993</v>
      </c>
      <c r="BC1176" s="27">
        <f>HYPERLINK("[P Only with New retention and Differentiation.xlsx]'Lake P Results'!O272", 64.698)</f>
        <v>64.697999999999993</v>
      </c>
      <c r="BD1176" s="18"/>
      <c r="BE1176" s="18"/>
      <c r="BF1176" s="18"/>
      <c r="BG1176" s="18"/>
      <c r="BH1176" s="18"/>
      <c r="BI1176" s="18"/>
      <c r="BJ1176" s="18"/>
      <c r="BK1176" s="18"/>
      <c r="BL1176" s="18"/>
      <c r="BM1176" s="18"/>
      <c r="BN1176" s="18"/>
      <c r="BO1176" s="18"/>
    </row>
    <row r="1177" spans="1:67" x14ac:dyDescent="0.55000000000000004">
      <c r="A1177" s="31">
        <v>675</v>
      </c>
      <c r="B1177" s="5" t="s">
        <v>585</v>
      </c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  <c r="AW1177" s="13"/>
      <c r="AX1177" s="13"/>
      <c r="AY1177" s="13"/>
      <c r="AZ1177" s="13"/>
      <c r="BA1177" s="13"/>
      <c r="BB1177" s="13"/>
      <c r="BC1177" s="13"/>
      <c r="BD1177" s="13"/>
      <c r="BE1177" s="13"/>
      <c r="BF1177" s="13"/>
      <c r="BG1177" s="13"/>
      <c r="BH1177" s="13"/>
      <c r="BI1177" s="13"/>
      <c r="BJ1177" s="13"/>
      <c r="BK1177" s="13"/>
      <c r="BL1177" s="13"/>
      <c r="BM1177" s="13"/>
      <c r="BN1177" s="13"/>
      <c r="BO1177" s="13"/>
    </row>
    <row r="1178" spans="1:67" x14ac:dyDescent="0.55000000000000004">
      <c r="A1178" s="30">
        <v>676</v>
      </c>
      <c r="B1178" s="6" t="s">
        <v>586</v>
      </c>
      <c r="C1178" s="18"/>
      <c r="D1178" s="18"/>
      <c r="E1178" s="18"/>
      <c r="F1178" s="18"/>
      <c r="G1178" s="18"/>
      <c r="H1178" s="26">
        <f>HYPERLINK("[P Only Old retention.xlsx]'Lake P Results'!AM274", 1600)</f>
        <v>1600</v>
      </c>
      <c r="I1178" s="26">
        <f>HYPERLINK("[P Only New retention.xlsx]'Lake P Results'!AM274", 1600)</f>
        <v>1600</v>
      </c>
      <c r="J1178" s="26">
        <f>HYPERLINK("[P Only with New retention and Differentiation.xlsx]'Lake P Results'!AM274", 1600)</f>
        <v>1600</v>
      </c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27">
        <f>HYPERLINK("[P Only Old retention.xlsx]'Lake P Results'!AA274", 1.27)</f>
        <v>1.27</v>
      </c>
      <c r="AH1178" s="27">
        <f>HYPERLINK("[P Only New retention.xlsx]'Lake P Results'!AA274", 1.27)</f>
        <v>1.27</v>
      </c>
      <c r="AI1178" s="27">
        <f>HYPERLINK("[P Only with New retention and Differentiation.xlsx]'Lake P Results'!AA274", 1.27)</f>
        <v>1.27</v>
      </c>
      <c r="AJ1178" s="18"/>
      <c r="AK1178" s="18"/>
      <c r="AL1178" s="18"/>
      <c r="AM1178" s="18"/>
      <c r="AN1178" s="18"/>
      <c r="AO1178" s="18"/>
      <c r="AP1178" s="18"/>
      <c r="AQ1178" s="18"/>
      <c r="AR1178" s="18"/>
      <c r="AS1178" s="18"/>
      <c r="AT1178" s="18"/>
      <c r="AU1178" s="18"/>
      <c r="AV1178" s="18"/>
      <c r="AW1178" s="18"/>
      <c r="AX1178" s="18"/>
      <c r="AY1178" s="18"/>
      <c r="AZ1178" s="18"/>
      <c r="BA1178" s="18"/>
      <c r="BB1178" s="18"/>
      <c r="BC1178" s="18"/>
      <c r="BD1178" s="18"/>
      <c r="BE1178" s="18"/>
      <c r="BF1178" s="18"/>
      <c r="BG1178" s="18"/>
      <c r="BH1178" s="18"/>
      <c r="BI1178" s="18"/>
      <c r="BJ1178" s="18"/>
      <c r="BK1178" s="18"/>
      <c r="BL1178" s="18"/>
      <c r="BM1178" s="18"/>
      <c r="BN1178" s="18"/>
      <c r="BO1178" s="18"/>
    </row>
    <row r="1179" spans="1:67" x14ac:dyDescent="0.55000000000000004">
      <c r="A1179" s="31">
        <v>682</v>
      </c>
      <c r="B1179" s="5" t="s">
        <v>587</v>
      </c>
      <c r="C1179" s="29">
        <f>HYPERLINK("[P Only Old retention.xlsx]'Lake P Results'!AE275", 0.0199999999999999)</f>
        <v>1.99999999999999E-2</v>
      </c>
      <c r="D1179" s="13"/>
      <c r="E1179" s="13"/>
      <c r="F1179" s="47">
        <f>D1179-C1179</f>
        <v>-1.99999999999999E-2</v>
      </c>
      <c r="G1179" s="47">
        <f>E1179-C1179</f>
        <v>-1.99999999999999E-2</v>
      </c>
      <c r="H1179" s="28">
        <f>HYPERLINK("[P Only Old retention.xlsx]'Lake P Results'!AM275", 45100)</f>
        <v>45100</v>
      </c>
      <c r="I1179" s="28">
        <f>HYPERLINK("[P Only New retention.xlsx]'Lake P Results'!AM275", 45100)</f>
        <v>45100</v>
      </c>
      <c r="J1179" s="28">
        <f>HYPERLINK("[P Only with New retention and Differentiation.xlsx]'Lake P Results'!AM275", 45100)</f>
        <v>45100</v>
      </c>
      <c r="K1179" s="13"/>
      <c r="L1179" s="13"/>
      <c r="M1179" s="29">
        <f>HYPERLINK("[P Only Old retention.xlsx]'Lake P Results'!AC275", 1.218)</f>
        <v>1.218</v>
      </c>
      <c r="N1179" s="29">
        <f>HYPERLINK("[P Only New retention.xlsx]'Lake P Results'!AC275", 0.966)</f>
        <v>0.96599999999999997</v>
      </c>
      <c r="O1179" s="29">
        <f>HYPERLINK("[P Only with New retention and Differentiation.xlsx]'Lake P Results'!AC275", 1.218)</f>
        <v>1.218</v>
      </c>
      <c r="P1179" s="47">
        <f>N1179-M1179</f>
        <v>-0.252</v>
      </c>
      <c r="Q1179" s="13"/>
      <c r="R1179" s="29">
        <f>HYPERLINK("[P Only Old retention.xlsx]'Lake P Results'!Y275", 0.674)</f>
        <v>0.67400000000000004</v>
      </c>
      <c r="S1179" s="29">
        <f>HYPERLINK("[P Only New retention.xlsx]'Lake P Results'!Y275", 0.582)</f>
        <v>0.58199999999999996</v>
      </c>
      <c r="T1179" s="29">
        <f>HYPERLINK("[P Only with New retention and Differentiation.xlsx]'Lake P Results'!Y275", 0.33)</f>
        <v>0.33</v>
      </c>
      <c r="U1179" s="47">
        <f>S1179-R1179</f>
        <v>-9.2000000000000082E-2</v>
      </c>
      <c r="V1179" s="47">
        <f>T1179-R1179</f>
        <v>-0.34400000000000003</v>
      </c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29">
        <f>HYPERLINK("[P Only Old retention.xlsx]'Lake P Results'!AA275", 9.4)</f>
        <v>9.4</v>
      </c>
      <c r="AH1179" s="29">
        <f>HYPERLINK("[P Only New retention.xlsx]'Lake P Results'!AA275", 9.4)</f>
        <v>9.4</v>
      </c>
      <c r="AI1179" s="29">
        <f>HYPERLINK("[P Only with New retention and Differentiation.xlsx]'Lake P Results'!AA275", 9.4)</f>
        <v>9.4</v>
      </c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  <c r="AW1179" s="13"/>
      <c r="AX1179" s="13"/>
      <c r="AY1179" s="13"/>
      <c r="AZ1179" s="13"/>
      <c r="BA1179" s="13"/>
      <c r="BB1179" s="13"/>
      <c r="BC1179" s="13"/>
      <c r="BD1179" s="13"/>
      <c r="BE1179" s="13"/>
      <c r="BF1179" s="13"/>
      <c r="BG1179" s="13"/>
      <c r="BH1179" s="13"/>
      <c r="BI1179" s="13"/>
      <c r="BJ1179" s="13"/>
      <c r="BK1179" s="13"/>
      <c r="BL1179" s="13"/>
      <c r="BM1179" s="13"/>
      <c r="BN1179" s="13"/>
      <c r="BO1179" s="13"/>
    </row>
    <row r="1180" spans="1:67" x14ac:dyDescent="0.55000000000000004">
      <c r="A1180" s="30">
        <v>683</v>
      </c>
      <c r="B1180" s="6" t="s">
        <v>588</v>
      </c>
      <c r="C1180" s="27">
        <f>HYPERLINK("[P Only Old retention.xlsx]'Lake P Results'!AE276", 25.296)</f>
        <v>25.295999999999999</v>
      </c>
      <c r="D1180" s="27">
        <f>HYPERLINK("[P Only New retention.xlsx]'Lake P Results'!AE276", 25.296)</f>
        <v>25.295999999999999</v>
      </c>
      <c r="E1180" s="27">
        <f>HYPERLINK("[P Only with New retention and Differentiation.xlsx]'Lake P Results'!AE276", 25.296)</f>
        <v>25.295999999999999</v>
      </c>
      <c r="F1180" s="18"/>
      <c r="G1180" s="18"/>
      <c r="H1180" s="26">
        <f>HYPERLINK("[P Only Old retention.xlsx]'Lake P Results'!AM276", 59600)</f>
        <v>59600</v>
      </c>
      <c r="I1180" s="26">
        <f>HYPERLINK("[P Only New retention.xlsx]'Lake P Results'!AM276", 59600)</f>
        <v>59600</v>
      </c>
      <c r="J1180" s="26">
        <f>HYPERLINK("[P Only with New retention and Differentiation.xlsx]'Lake P Results'!AM276", 59600)</f>
        <v>59600</v>
      </c>
      <c r="K1180" s="18"/>
      <c r="L1180" s="18"/>
      <c r="M1180" s="27">
        <f>HYPERLINK("[P Only Old retention.xlsx]'Lake P Results'!AC276", 23.878)</f>
        <v>23.878</v>
      </c>
      <c r="N1180" s="27">
        <f>HYPERLINK("[P Only New retention.xlsx]'Lake P Results'!AC276", 17.708)</f>
        <v>17.707999999999998</v>
      </c>
      <c r="O1180" s="27">
        <f>HYPERLINK("[P Only with New retention and Differentiation.xlsx]'Lake P Results'!AC276", 25.618)</f>
        <v>25.617999999999999</v>
      </c>
      <c r="P1180" s="47">
        <f>N1180-M1180</f>
        <v>-6.1700000000000017</v>
      </c>
      <c r="Q1180" s="46">
        <f>O1180-M1180</f>
        <v>1.7399999999999984</v>
      </c>
      <c r="R1180" s="27">
        <f>HYPERLINK("[P Only Old retention.xlsx]'Lake P Results'!Y276", 109.076)</f>
        <v>109.07599999999999</v>
      </c>
      <c r="S1180" s="27">
        <f>HYPERLINK("[P Only New retention.xlsx]'Lake P Results'!Y276", 113.566)</f>
        <v>113.566</v>
      </c>
      <c r="T1180" s="27">
        <f>HYPERLINK("[P Only with New retention and Differentiation.xlsx]'Lake P Results'!Y276", 89.596)</f>
        <v>89.596000000000004</v>
      </c>
      <c r="U1180" s="46">
        <f>S1180-R1180</f>
        <v>4.4900000000000091</v>
      </c>
      <c r="V1180" s="47">
        <f>T1180-R1180</f>
        <v>-19.47999999999999</v>
      </c>
      <c r="W1180" s="27">
        <f>HYPERLINK("[P Only Old retention.xlsx]'Lake P Results'!V276", 88.098)</f>
        <v>88.097999999999999</v>
      </c>
      <c r="X1180" s="27">
        <f>HYPERLINK("[P Only New retention.xlsx]'Lake P Results'!V276", 88.098)</f>
        <v>88.097999999999999</v>
      </c>
      <c r="Y1180" s="27">
        <f>HYPERLINK("[P Only with New retention and Differentiation.xlsx]'Lake P Results'!V276", 88.098)</f>
        <v>88.097999999999999</v>
      </c>
      <c r="Z1180" s="18"/>
      <c r="AA1180" s="18"/>
      <c r="AB1180" s="27">
        <f>HYPERLINK("[P Only Old retention.xlsx]'Lake P Results'!Z276", 6.988)</f>
        <v>6.9880000000000004</v>
      </c>
      <c r="AC1180" s="27">
        <f>HYPERLINK("[P Only New retention.xlsx]'Lake P Results'!Z276", 8.668)</f>
        <v>8.6679999999999993</v>
      </c>
      <c r="AD1180" s="27">
        <f>HYPERLINK("[P Only with New retention and Differentiation.xlsx]'Lake P Results'!Z276", 24.728)</f>
        <v>24.728000000000002</v>
      </c>
      <c r="AE1180" s="46">
        <f>AC1180-AB1180</f>
        <v>1.6799999999999988</v>
      </c>
      <c r="AF1180" s="46">
        <f>AD1180-AB1180</f>
        <v>17.740000000000002</v>
      </c>
      <c r="AG1180" s="27">
        <f>HYPERLINK("[P Only Old retention.xlsx]'Lake P Results'!AA276", 0.59)</f>
        <v>0.59</v>
      </c>
      <c r="AH1180" s="27">
        <f>HYPERLINK("[P Only New retention.xlsx]'Lake P Results'!AA276", 0.59)</f>
        <v>0.59</v>
      </c>
      <c r="AI1180" s="27">
        <f>HYPERLINK("[P Only with New retention and Differentiation.xlsx]'Lake P Results'!AA276", 0.59)</f>
        <v>0.59</v>
      </c>
      <c r="AJ1180" s="18"/>
      <c r="AK1180" s="18"/>
      <c r="AL1180" s="27">
        <f>HYPERLINK("[P Only Old retention.xlsx]'Lake P Results'!AF276", 0.08)</f>
        <v>0.08</v>
      </c>
      <c r="AM1180" s="27">
        <f>HYPERLINK("[P Only New retention.xlsx]'Lake P Results'!AF276", 0.08)</f>
        <v>0.08</v>
      </c>
      <c r="AN1180" s="27">
        <f>HYPERLINK("[P Only with New retention and Differentiation.xlsx]'Lake P Results'!AF276", 0.08)</f>
        <v>0.08</v>
      </c>
      <c r="AO1180" s="18"/>
      <c r="AP1180" s="18"/>
      <c r="AQ1180" s="26">
        <f>HYPERLINK("[P Only Old retention.xlsx]'Lake P Results'!AH276", 1260)</f>
        <v>1260</v>
      </c>
      <c r="AR1180" s="26">
        <f>HYPERLINK("[P Only New retention.xlsx]'Lake P Results'!AH276", 1260)</f>
        <v>1260</v>
      </c>
      <c r="AS1180" s="26">
        <f>HYPERLINK("[P Only with New retention and Differentiation.xlsx]'Lake P Results'!AH276", 1260)</f>
        <v>1260</v>
      </c>
      <c r="AT1180" s="18"/>
      <c r="AU1180" s="18"/>
      <c r="AV1180" s="18"/>
      <c r="AW1180" s="18"/>
      <c r="AX1180" s="18"/>
      <c r="AY1180" s="18"/>
      <c r="AZ1180" s="18"/>
      <c r="BA1180" s="27">
        <f>HYPERLINK("[P Only Old retention.xlsx]'Lake P Results'!O276", 788.456)</f>
        <v>788.45600000000002</v>
      </c>
      <c r="BB1180" s="27">
        <f>HYPERLINK("[P Only New retention.xlsx]'Lake P Results'!O276", 788.456)</f>
        <v>788.45600000000002</v>
      </c>
      <c r="BC1180" s="27">
        <f>HYPERLINK("[P Only with New retention and Differentiation.xlsx]'Lake P Results'!O276", 788.456)</f>
        <v>788.45600000000002</v>
      </c>
      <c r="BD1180" s="18"/>
      <c r="BE1180" s="18"/>
      <c r="BF1180" s="18"/>
      <c r="BG1180" s="18"/>
      <c r="BH1180" s="18"/>
      <c r="BI1180" s="18"/>
      <c r="BJ1180" s="18"/>
      <c r="BK1180" s="18"/>
      <c r="BL1180" s="18"/>
      <c r="BM1180" s="18"/>
      <c r="BN1180" s="18"/>
      <c r="BO1180" s="18"/>
    </row>
    <row r="1181" spans="1:67" x14ac:dyDescent="0.55000000000000004">
      <c r="A1181" s="31">
        <v>684</v>
      </c>
      <c r="B1181" s="5" t="s">
        <v>589</v>
      </c>
      <c r="C1181" s="29">
        <f>HYPERLINK("[P Only Old retention.xlsx]'Lake P Results'!AE277", 17.496)</f>
        <v>17.495999999999999</v>
      </c>
      <c r="D1181" s="29">
        <f>HYPERLINK("[P Only New retention.xlsx]'Lake P Results'!AE277", 17.496)</f>
        <v>17.495999999999999</v>
      </c>
      <c r="E1181" s="29">
        <f>HYPERLINK("[P Only with New retention and Differentiation.xlsx]'Lake P Results'!AE277", 17.496)</f>
        <v>17.495999999999999</v>
      </c>
      <c r="F1181" s="13"/>
      <c r="G1181" s="13"/>
      <c r="H1181" s="28">
        <f>HYPERLINK("[P Only Old retention.xlsx]'Lake P Results'!AM277", 59400)</f>
        <v>59400</v>
      </c>
      <c r="I1181" s="28">
        <f>HYPERLINK("[P Only New retention.xlsx]'Lake P Results'!AM277", 59400)</f>
        <v>59400</v>
      </c>
      <c r="J1181" s="28">
        <f>HYPERLINK("[P Only with New retention and Differentiation.xlsx]'Lake P Results'!AM277", 59400)</f>
        <v>59400</v>
      </c>
      <c r="K1181" s="13"/>
      <c r="L1181" s="13"/>
      <c r="M1181" s="29">
        <f>HYPERLINK("[P Only Old retention.xlsx]'Lake P Results'!AC277", 47.51)</f>
        <v>47.51</v>
      </c>
      <c r="N1181" s="29">
        <f>HYPERLINK("[P Only New retention.xlsx]'Lake P Results'!AC277", 51.024)</f>
        <v>51.024000000000001</v>
      </c>
      <c r="O1181" s="29">
        <f>HYPERLINK("[P Only with New retention and Differentiation.xlsx]'Lake P Results'!AC277", 50.688)</f>
        <v>50.688000000000002</v>
      </c>
      <c r="P1181" s="46">
        <f>N1181-M1181</f>
        <v>3.5140000000000029</v>
      </c>
      <c r="Q1181" s="46">
        <f>O1181-M1181</f>
        <v>3.1780000000000044</v>
      </c>
      <c r="R1181" s="29">
        <f>HYPERLINK("[P Only Old retention.xlsx]'Lake P Results'!Y277", 416.086)</f>
        <v>416.08600000000001</v>
      </c>
      <c r="S1181" s="29">
        <f>HYPERLINK("[P Only New retention.xlsx]'Lake P Results'!Y277", 409.328)</f>
        <v>409.32799999999997</v>
      </c>
      <c r="T1181" s="29">
        <f>HYPERLINK("[P Only with New retention and Differentiation.xlsx]'Lake P Results'!Y277", 409.196)</f>
        <v>409.19600000000003</v>
      </c>
      <c r="U1181" s="47">
        <f>S1181-R1181</f>
        <v>-6.7580000000000382</v>
      </c>
      <c r="V1181" s="47">
        <f>T1181-R1181</f>
        <v>-6.8899999999999864</v>
      </c>
      <c r="W1181" s="29">
        <f>HYPERLINK("[P Only Old retention.xlsx]'Lake P Results'!V277", 240.81)</f>
        <v>240.81</v>
      </c>
      <c r="X1181" s="29">
        <f>HYPERLINK("[P Only New retention.xlsx]'Lake P Results'!V277", 240.81)</f>
        <v>240.81</v>
      </c>
      <c r="Y1181" s="29">
        <f>HYPERLINK("[P Only with New retention and Differentiation.xlsx]'Lake P Results'!V277", 240.81)</f>
        <v>240.81</v>
      </c>
      <c r="Z1181" s="13"/>
      <c r="AA1181" s="13"/>
      <c r="AB1181" s="29">
        <f>HYPERLINK("[P Only Old retention.xlsx]'Lake P Results'!Z277", 11.93)</f>
        <v>11.93</v>
      </c>
      <c r="AC1181" s="29">
        <f>HYPERLINK("[P Only New retention.xlsx]'Lake P Results'!Z277", 15.174)</f>
        <v>15.173999999999999</v>
      </c>
      <c r="AD1181" s="29">
        <f>HYPERLINK("[P Only with New retention and Differentiation.xlsx]'Lake P Results'!Z277", 15.642)</f>
        <v>15.641999999999999</v>
      </c>
      <c r="AE1181" s="46">
        <f>AC1181-AB1181</f>
        <v>3.2439999999999998</v>
      </c>
      <c r="AF1181" s="46">
        <f>AD1181-AB1181</f>
        <v>3.7119999999999997</v>
      </c>
      <c r="AG1181" s="29">
        <f>HYPERLINK("[P Only Old retention.xlsx]'Lake P Results'!AA277", 0.3)</f>
        <v>0.3</v>
      </c>
      <c r="AH1181" s="29">
        <f>HYPERLINK("[P Only New retention.xlsx]'Lake P Results'!AA277", 0.3)</f>
        <v>0.3</v>
      </c>
      <c r="AI1181" s="29">
        <f>HYPERLINK("[P Only with New retention and Differentiation.xlsx]'Lake P Results'!AA277", 0.3)</f>
        <v>0.3</v>
      </c>
      <c r="AJ1181" s="13"/>
      <c r="AK1181" s="13"/>
      <c r="AL1181" s="29">
        <f>HYPERLINK("[P Only Old retention.xlsx]'Lake P Results'!AF277", 1.122)</f>
        <v>1.1220000000000001</v>
      </c>
      <c r="AM1181" s="29">
        <f>HYPERLINK("[P Only New retention.xlsx]'Lake P Results'!AF277", 1.122)</f>
        <v>1.1220000000000001</v>
      </c>
      <c r="AN1181" s="29">
        <f>HYPERLINK("[P Only with New retention and Differentiation.xlsx]'Lake P Results'!AF277", 1.122)</f>
        <v>1.1220000000000001</v>
      </c>
      <c r="AO1181" s="13"/>
      <c r="AP1181" s="13"/>
      <c r="AQ1181" s="28">
        <f>HYPERLINK("[P Only Old retention.xlsx]'Lake P Results'!AH277", 2059.99999999965)</f>
        <v>2059.9999999996498</v>
      </c>
      <c r="AR1181" s="28">
        <f>HYPERLINK("[P Only New retention.xlsx]'Lake P Results'!AH277", 2059.99999999965)</f>
        <v>2059.9999999996498</v>
      </c>
      <c r="AS1181" s="28">
        <f>HYPERLINK("[P Only with New retention and Differentiation.xlsx]'Lake P Results'!AH277", 2059.99999999965)</f>
        <v>2059.9999999996498</v>
      </c>
      <c r="AT1181" s="13"/>
      <c r="AU1181" s="13"/>
      <c r="AV1181" s="13"/>
      <c r="AW1181" s="13"/>
      <c r="AX1181" s="13"/>
      <c r="AY1181" s="13"/>
      <c r="AZ1181" s="13"/>
      <c r="BA1181" s="29">
        <f>HYPERLINK("[P Only Old retention.xlsx]'Lake P Results'!O277", 2151.492)</f>
        <v>2151.4920000000002</v>
      </c>
      <c r="BB1181" s="29">
        <f>HYPERLINK("[P Only New retention.xlsx]'Lake P Results'!O277", 2151.492)</f>
        <v>2151.4920000000002</v>
      </c>
      <c r="BC1181" s="29">
        <f>HYPERLINK("[P Only with New retention and Differentiation.xlsx]'Lake P Results'!O277", 2151.492)</f>
        <v>2151.4920000000002</v>
      </c>
      <c r="BD1181" s="13"/>
      <c r="BE1181" s="13"/>
      <c r="BF1181" s="13"/>
      <c r="BG1181" s="13"/>
      <c r="BH1181" s="13"/>
      <c r="BI1181" s="13"/>
      <c r="BJ1181" s="13"/>
      <c r="BK1181" s="13"/>
      <c r="BL1181" s="13"/>
      <c r="BM1181" s="13"/>
      <c r="BN1181" s="13"/>
      <c r="BO1181" s="13"/>
    </row>
    <row r="1182" spans="1:67" x14ac:dyDescent="0.55000000000000004">
      <c r="A1182" s="30">
        <v>685</v>
      </c>
      <c r="B1182" s="6" t="s">
        <v>590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  <c r="AO1182" s="18"/>
      <c r="AP1182" s="18"/>
      <c r="AQ1182" s="18"/>
      <c r="AR1182" s="18"/>
      <c r="AS1182" s="18"/>
      <c r="AT1182" s="18"/>
      <c r="AU1182" s="18"/>
      <c r="AV1182" s="18"/>
      <c r="AW1182" s="18"/>
      <c r="AX1182" s="18"/>
      <c r="AY1182" s="18"/>
      <c r="AZ1182" s="18"/>
      <c r="BA1182" s="18"/>
      <c r="BB1182" s="18"/>
      <c r="BC1182" s="18"/>
      <c r="BD1182" s="18"/>
      <c r="BE1182" s="18"/>
      <c r="BF1182" s="18"/>
      <c r="BG1182" s="18"/>
      <c r="BH1182" s="18"/>
      <c r="BI1182" s="18"/>
      <c r="BJ1182" s="18"/>
      <c r="BK1182" s="18"/>
      <c r="BL1182" s="18"/>
      <c r="BM1182" s="18"/>
      <c r="BN1182" s="18"/>
      <c r="BO1182" s="18"/>
    </row>
    <row r="1183" spans="1:67" x14ac:dyDescent="0.55000000000000004">
      <c r="A1183" s="31">
        <v>687</v>
      </c>
      <c r="B1183" s="5" t="s">
        <v>591</v>
      </c>
      <c r="C1183" s="29">
        <f>HYPERLINK("[P Only Old retention.xlsx]'Lake P Results'!AE279", 0.879999999999999)</f>
        <v>0.87999999999999901</v>
      </c>
      <c r="D1183" s="29">
        <f>HYPERLINK("[P Only New retention.xlsx]'Lake P Results'!AE279", 0.879999999999999)</f>
        <v>0.87999999999999901</v>
      </c>
      <c r="E1183" s="29">
        <f>HYPERLINK("[P Only with New retention and Differentiation.xlsx]'Lake P Results'!AE279", 0.879999999999999)</f>
        <v>0.87999999999999901</v>
      </c>
      <c r="F1183" s="13"/>
      <c r="G1183" s="13"/>
      <c r="H1183" s="28">
        <f>HYPERLINK("[P Only Old retention.xlsx]'Lake P Results'!AM279", 1700)</f>
        <v>1700</v>
      </c>
      <c r="I1183" s="28">
        <f>HYPERLINK("[P Only New retention.xlsx]'Lake P Results'!AM279", 1700)</f>
        <v>1700</v>
      </c>
      <c r="J1183" s="28">
        <f>HYPERLINK("[P Only with New retention and Differentiation.xlsx]'Lake P Results'!AM279", 1700)</f>
        <v>1700</v>
      </c>
      <c r="K1183" s="13"/>
      <c r="L1183" s="13"/>
      <c r="M1183" s="29">
        <f>HYPERLINK("[P Only Old retention.xlsx]'Lake P Results'!AC279", 2.98)</f>
        <v>2.98</v>
      </c>
      <c r="N1183" s="29">
        <f>HYPERLINK("[P Only New retention.xlsx]'Lake P Results'!AC279", 2.98)</f>
        <v>2.98</v>
      </c>
      <c r="O1183" s="29">
        <f>HYPERLINK("[P Only with New retention and Differentiation.xlsx]'Lake P Results'!AC279", 2.98)</f>
        <v>2.98</v>
      </c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  <c r="AS1183" s="13"/>
      <c r="AT1183" s="13"/>
      <c r="AU1183" s="13"/>
      <c r="AV1183" s="13"/>
      <c r="AW1183" s="13"/>
      <c r="AX1183" s="13"/>
      <c r="AY1183" s="13"/>
      <c r="AZ1183" s="13"/>
      <c r="BA1183" s="29">
        <f>HYPERLINK("[P Only Old retention.xlsx]'Lake P Results'!O279", 8.08)</f>
        <v>8.08</v>
      </c>
      <c r="BB1183" s="29">
        <f>HYPERLINK("[P Only New retention.xlsx]'Lake P Results'!O279", 8.08)</f>
        <v>8.08</v>
      </c>
      <c r="BC1183" s="29">
        <f>HYPERLINK("[P Only with New retention and Differentiation.xlsx]'Lake P Results'!O279", 8.08)</f>
        <v>8.08</v>
      </c>
      <c r="BD1183" s="13"/>
      <c r="BE1183" s="13"/>
      <c r="BF1183" s="13"/>
      <c r="BG1183" s="13"/>
      <c r="BH1183" s="13"/>
      <c r="BI1183" s="13"/>
      <c r="BJ1183" s="13"/>
      <c r="BK1183" s="13"/>
      <c r="BL1183" s="13"/>
      <c r="BM1183" s="13"/>
      <c r="BN1183" s="13"/>
      <c r="BO1183" s="13"/>
    </row>
    <row r="1184" spans="1:67" x14ac:dyDescent="0.55000000000000004">
      <c r="A1184" s="30">
        <v>688</v>
      </c>
      <c r="B1184" s="6" t="s">
        <v>592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  <c r="AO1184" s="18"/>
      <c r="AP1184" s="18"/>
      <c r="AQ1184" s="18"/>
      <c r="AR1184" s="18"/>
      <c r="AS1184" s="18"/>
      <c r="AT1184" s="18"/>
      <c r="AU1184" s="18"/>
      <c r="AV1184" s="18"/>
      <c r="AW1184" s="18"/>
      <c r="AX1184" s="18"/>
      <c r="AY1184" s="18"/>
      <c r="AZ1184" s="18"/>
      <c r="BA1184" s="18"/>
      <c r="BB1184" s="18"/>
      <c r="BC1184" s="18"/>
      <c r="BD1184" s="18"/>
      <c r="BE1184" s="18"/>
      <c r="BF1184" s="18"/>
      <c r="BG1184" s="18"/>
      <c r="BH1184" s="18"/>
      <c r="BI1184" s="18"/>
      <c r="BJ1184" s="18"/>
      <c r="BK1184" s="18"/>
      <c r="BL1184" s="18"/>
      <c r="BM1184" s="18"/>
      <c r="BN1184" s="18"/>
      <c r="BO1184" s="18"/>
    </row>
    <row r="1185" spans="1:67" x14ac:dyDescent="0.55000000000000004">
      <c r="A1185" s="31">
        <v>695</v>
      </c>
      <c r="B1185" s="5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  <c r="AS1185" s="13"/>
      <c r="AT1185" s="13"/>
      <c r="AU1185" s="13"/>
      <c r="AV1185" s="13"/>
      <c r="AW1185" s="13"/>
      <c r="AX1185" s="13"/>
      <c r="AY1185" s="13"/>
      <c r="AZ1185" s="13"/>
      <c r="BA1185" s="13"/>
      <c r="BB1185" s="13"/>
      <c r="BC1185" s="13"/>
      <c r="BD1185" s="13"/>
      <c r="BE1185" s="13"/>
      <c r="BF1185" s="13"/>
      <c r="BG1185" s="13"/>
      <c r="BH1185" s="13"/>
      <c r="BI1185" s="13"/>
      <c r="BJ1185" s="13"/>
      <c r="BK1185" s="13"/>
      <c r="BL1185" s="13"/>
      <c r="BM1185" s="13"/>
      <c r="BN1185" s="13"/>
      <c r="BO1185" s="13"/>
    </row>
    <row r="1186" spans="1:67" x14ac:dyDescent="0.55000000000000004">
      <c r="A1186" s="30">
        <v>696</v>
      </c>
      <c r="B1186" s="6" t="s">
        <v>593</v>
      </c>
      <c r="C1186" s="18"/>
      <c r="D1186" s="18"/>
      <c r="E1186" s="18"/>
      <c r="F1186" s="18"/>
      <c r="G1186" s="18"/>
      <c r="H1186" s="26">
        <f>HYPERLINK("[P Only Old retention.xlsx]'Lake P Results'!AM282", 5100)</f>
        <v>5100</v>
      </c>
      <c r="I1186" s="26">
        <f>HYPERLINK("[P Only New retention.xlsx]'Lake P Results'!AM282", 5100)</f>
        <v>5100</v>
      </c>
      <c r="J1186" s="26">
        <f>HYPERLINK("[P Only with New retention and Differentiation.xlsx]'Lake P Results'!AM282", 5100)</f>
        <v>5100</v>
      </c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  <c r="AO1186" s="18"/>
      <c r="AP1186" s="18"/>
      <c r="AQ1186" s="26">
        <f>HYPERLINK("[P Only Old retention.xlsx]'Lake P Results'!AH282", 20)</f>
        <v>20</v>
      </c>
      <c r="AR1186" s="26">
        <f>HYPERLINK("[P Only New retention.xlsx]'Lake P Results'!AH282", 20)</f>
        <v>20</v>
      </c>
      <c r="AS1186" s="26">
        <f>HYPERLINK("[P Only with New retention and Differentiation.xlsx]'Lake P Results'!AH282", 20)</f>
        <v>20</v>
      </c>
      <c r="AT1186" s="18"/>
      <c r="AU1186" s="18"/>
      <c r="AV1186" s="18"/>
      <c r="AW1186" s="18"/>
      <c r="AX1186" s="18"/>
      <c r="AY1186" s="18"/>
      <c r="AZ1186" s="18"/>
      <c r="BA1186" s="27">
        <f>HYPERLINK("[P Only Old retention.xlsx]'Lake P Results'!O282", 13.856)</f>
        <v>13.856</v>
      </c>
      <c r="BB1186" s="27">
        <f>HYPERLINK("[P Only New retention.xlsx]'Lake P Results'!O282", 13.856)</f>
        <v>13.856</v>
      </c>
      <c r="BC1186" s="27">
        <f>HYPERLINK("[P Only with New retention and Differentiation.xlsx]'Lake P Results'!O282", 13.856)</f>
        <v>13.856</v>
      </c>
      <c r="BD1186" s="18"/>
      <c r="BE1186" s="18"/>
      <c r="BF1186" s="18"/>
      <c r="BG1186" s="18"/>
      <c r="BH1186" s="18"/>
      <c r="BI1186" s="18"/>
      <c r="BJ1186" s="18"/>
      <c r="BK1186" s="18"/>
      <c r="BL1186" s="18"/>
      <c r="BM1186" s="18"/>
      <c r="BN1186" s="18"/>
      <c r="BO1186" s="18"/>
    </row>
    <row r="1187" spans="1:67" x14ac:dyDescent="0.55000000000000004">
      <c r="A1187" s="31">
        <v>698</v>
      </c>
      <c r="B1187" s="5" t="s">
        <v>594</v>
      </c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  <c r="AS1187" s="13"/>
      <c r="AT1187" s="13"/>
      <c r="AU1187" s="13"/>
      <c r="AV1187" s="13"/>
      <c r="AW1187" s="13"/>
      <c r="AX1187" s="13"/>
      <c r="AY1187" s="13"/>
      <c r="AZ1187" s="13"/>
      <c r="BA1187" s="13"/>
      <c r="BB1187" s="13"/>
      <c r="BC1187" s="13"/>
      <c r="BD1187" s="13"/>
      <c r="BE1187" s="13"/>
      <c r="BF1187" s="13"/>
      <c r="BG1187" s="13"/>
      <c r="BH1187" s="13"/>
      <c r="BI1187" s="13"/>
      <c r="BJ1187" s="13"/>
      <c r="BK1187" s="13"/>
      <c r="BL1187" s="13"/>
      <c r="BM1187" s="13"/>
      <c r="BN1187" s="13"/>
      <c r="BO1187" s="13"/>
    </row>
    <row r="1188" spans="1:67" x14ac:dyDescent="0.55000000000000004">
      <c r="A1188" s="30">
        <v>699</v>
      </c>
      <c r="B1188" s="6" t="s">
        <v>595</v>
      </c>
      <c r="C1188" s="27">
        <f>HYPERLINK("[P Only Old retention.xlsx]'Lake P Results'!AE284", 19.986)</f>
        <v>19.986000000000001</v>
      </c>
      <c r="D1188" s="27">
        <f>HYPERLINK("[P Only New retention.xlsx]'Lake P Results'!AE284", 19.986)</f>
        <v>19.986000000000001</v>
      </c>
      <c r="E1188" s="27">
        <f>HYPERLINK("[P Only with New retention and Differentiation.xlsx]'Lake P Results'!AE284", 19.986)</f>
        <v>19.986000000000001</v>
      </c>
      <c r="F1188" s="18"/>
      <c r="G1188" s="18"/>
      <c r="H1188" s="26">
        <f>HYPERLINK("[P Only Old retention.xlsx]'Lake P Results'!AM284", 72000)</f>
        <v>72000</v>
      </c>
      <c r="I1188" s="26">
        <f>HYPERLINK("[P Only New retention.xlsx]'Lake P Results'!AM284", 72000)</f>
        <v>72000</v>
      </c>
      <c r="J1188" s="26">
        <f>HYPERLINK("[P Only with New retention and Differentiation.xlsx]'Lake P Results'!AM284", 72000)</f>
        <v>72000</v>
      </c>
      <c r="K1188" s="18"/>
      <c r="L1188" s="18"/>
      <c r="M1188" s="27">
        <f>HYPERLINK("[P Only Old retention.xlsx]'Lake P Results'!AC284", 76.166)</f>
        <v>76.165999999999997</v>
      </c>
      <c r="N1188" s="27">
        <f>HYPERLINK("[P Only New retention.xlsx]'Lake P Results'!AC284", 77.436)</f>
        <v>77.436000000000007</v>
      </c>
      <c r="O1188" s="27">
        <f>HYPERLINK("[P Only with New retention and Differentiation.xlsx]'Lake P Results'!AC284", 77.436)</f>
        <v>77.436000000000007</v>
      </c>
      <c r="P1188" s="46">
        <f>N1188-M1188</f>
        <v>1.2700000000000102</v>
      </c>
      <c r="Q1188" s="46">
        <f>O1188-M1188</f>
        <v>1.2700000000000102</v>
      </c>
      <c r="R1188" s="18"/>
      <c r="S1188" s="18"/>
      <c r="T1188" s="18"/>
      <c r="U1188" s="18"/>
      <c r="V1188" s="18"/>
      <c r="W1188" s="27">
        <f>HYPERLINK("[P Only Old retention.xlsx]'Lake P Results'!V284", 52.614)</f>
        <v>52.613999999999997</v>
      </c>
      <c r="X1188" s="27">
        <f>HYPERLINK("[P Only New retention.xlsx]'Lake P Results'!V284", 52.614)</f>
        <v>52.613999999999997</v>
      </c>
      <c r="Y1188" s="27">
        <f>HYPERLINK("[P Only with New retention and Differentiation.xlsx]'Lake P Results'!V284", 52.614)</f>
        <v>52.613999999999997</v>
      </c>
      <c r="Z1188" s="18"/>
      <c r="AA1188" s="18"/>
      <c r="AB1188" s="27">
        <f>HYPERLINK("[P Only Old retention.xlsx]'Lake P Results'!Z284", 6.76)</f>
        <v>6.76</v>
      </c>
      <c r="AC1188" s="27">
        <f>HYPERLINK("[P Only New retention.xlsx]'Lake P Results'!Z284", 5.49)</f>
        <v>5.49</v>
      </c>
      <c r="AD1188" s="27">
        <f>HYPERLINK("[P Only with New retention and Differentiation.xlsx]'Lake P Results'!Z284", 5.49)</f>
        <v>5.49</v>
      </c>
      <c r="AE1188" s="47">
        <f>AC1188-AB1188</f>
        <v>-1.2699999999999996</v>
      </c>
      <c r="AF1188" s="47">
        <f>AD1188-AB1188</f>
        <v>-1.2699999999999996</v>
      </c>
      <c r="AG1188" s="27">
        <f>HYPERLINK("[P Only Old retention.xlsx]'Lake P Results'!AA284", 1.956)</f>
        <v>1.956</v>
      </c>
      <c r="AH1188" s="27">
        <f>HYPERLINK("[P Only New retention.xlsx]'Lake P Results'!AA284", 1.956)</f>
        <v>1.956</v>
      </c>
      <c r="AI1188" s="27">
        <f>HYPERLINK("[P Only with New retention and Differentiation.xlsx]'Lake P Results'!AA284", 1.956)</f>
        <v>1.956</v>
      </c>
      <c r="AJ1188" s="18"/>
      <c r="AK1188" s="18"/>
      <c r="AL1188" s="27">
        <f>HYPERLINK("[P Only Old retention.xlsx]'Lake P Results'!AF284", 0.32)</f>
        <v>0.32</v>
      </c>
      <c r="AM1188" s="27">
        <f>HYPERLINK("[P Only New retention.xlsx]'Lake P Results'!AF284", 0.32)</f>
        <v>0.32</v>
      </c>
      <c r="AN1188" s="27">
        <f>HYPERLINK("[P Only with New retention and Differentiation.xlsx]'Lake P Results'!AF284", 0.32)</f>
        <v>0.32</v>
      </c>
      <c r="AO1188" s="18"/>
      <c r="AP1188" s="18"/>
      <c r="AQ1188" s="26">
        <f>HYPERLINK("[P Only Old retention.xlsx]'Lake P Results'!AH284", 2040)</f>
        <v>2040</v>
      </c>
      <c r="AR1188" s="26">
        <f>HYPERLINK("[P Only New retention.xlsx]'Lake P Results'!AH284", 2040)</f>
        <v>2040</v>
      </c>
      <c r="AS1188" s="26">
        <f>HYPERLINK("[P Only with New retention and Differentiation.xlsx]'Lake P Results'!AH284", 2040)</f>
        <v>2040</v>
      </c>
      <c r="AT1188" s="18"/>
      <c r="AU1188" s="18"/>
      <c r="AV1188" s="18"/>
      <c r="AW1188" s="18"/>
      <c r="AX1188" s="18"/>
      <c r="AY1188" s="18"/>
      <c r="AZ1188" s="18"/>
      <c r="BA1188" s="27">
        <f>HYPERLINK("[P Only Old retention.xlsx]'Lake P Results'!O284", 2155.476)</f>
        <v>2155.4760000000001</v>
      </c>
      <c r="BB1188" s="27">
        <f>HYPERLINK("[P Only New retention.xlsx]'Lake P Results'!O284", 2155.476)</f>
        <v>2155.4760000000001</v>
      </c>
      <c r="BC1188" s="27">
        <f>HYPERLINK("[P Only with New retention and Differentiation.xlsx]'Lake P Results'!O284", 2155.476)</f>
        <v>2155.4760000000001</v>
      </c>
      <c r="BD1188" s="18"/>
      <c r="BE1188" s="18"/>
      <c r="BF1188" s="18"/>
      <c r="BG1188" s="18"/>
      <c r="BH1188" s="18"/>
      <c r="BI1188" s="18"/>
      <c r="BJ1188" s="18"/>
      <c r="BK1188" s="18"/>
      <c r="BL1188" s="18"/>
      <c r="BM1188" s="18"/>
      <c r="BN1188" s="18"/>
      <c r="BO1188" s="18"/>
    </row>
    <row r="1189" spans="1:67" x14ac:dyDescent="0.55000000000000004">
      <c r="A1189" s="31">
        <v>700</v>
      </c>
      <c r="B1189" s="5"/>
      <c r="C1189" s="13"/>
      <c r="D1189" s="13"/>
      <c r="E1189" s="13"/>
      <c r="F1189" s="13"/>
      <c r="G1189" s="13"/>
      <c r="H1189" s="28">
        <f>HYPERLINK("[P Only Old retention.xlsx]'Lake P Results'!AM285", 300)</f>
        <v>300</v>
      </c>
      <c r="I1189" s="28">
        <f>HYPERLINK("[P Only New retention.xlsx]'Lake P Results'!AM285", 300)</f>
        <v>300</v>
      </c>
      <c r="J1189" s="28">
        <f>HYPERLINK("[P Only with New retention and Differentiation.xlsx]'Lake P Results'!AM285", 300)</f>
        <v>300</v>
      </c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  <c r="AS1189" s="13"/>
      <c r="AT1189" s="13"/>
      <c r="AU1189" s="13"/>
      <c r="AV1189" s="13"/>
      <c r="AW1189" s="13"/>
      <c r="AX1189" s="13"/>
      <c r="AY1189" s="13"/>
      <c r="AZ1189" s="13"/>
      <c r="BA1189" s="13"/>
      <c r="BB1189" s="13"/>
      <c r="BC1189" s="13"/>
      <c r="BD1189" s="13"/>
      <c r="BE1189" s="13"/>
      <c r="BF1189" s="13"/>
      <c r="BG1189" s="13"/>
      <c r="BH1189" s="13"/>
      <c r="BI1189" s="13"/>
      <c r="BJ1189" s="13"/>
      <c r="BK1189" s="13"/>
      <c r="BL1189" s="13"/>
      <c r="BM1189" s="13"/>
      <c r="BN1189" s="13"/>
      <c r="BO1189" s="13"/>
    </row>
    <row r="1190" spans="1:67" x14ac:dyDescent="0.55000000000000004">
      <c r="A1190" s="30">
        <v>703</v>
      </c>
      <c r="B1190" s="6" t="s">
        <v>596</v>
      </c>
      <c r="C1190" s="27">
        <f>HYPERLINK("[P Only Old retention.xlsx]'Lake P Results'!AE286", 8.926)</f>
        <v>8.9260000000000002</v>
      </c>
      <c r="D1190" s="27">
        <f>HYPERLINK("[P Only New retention.xlsx]'Lake P Results'!AE286", 8.926)</f>
        <v>8.9260000000000002</v>
      </c>
      <c r="E1190" s="27">
        <f>HYPERLINK("[P Only with New retention and Differentiation.xlsx]'Lake P Results'!AE286", 8.926)</f>
        <v>8.9260000000000002</v>
      </c>
      <c r="F1190" s="18"/>
      <c r="G1190" s="18"/>
      <c r="H1190" s="26">
        <f>HYPERLINK("[P Only Old retention.xlsx]'Lake P Results'!AM286", 11000)</f>
        <v>11000</v>
      </c>
      <c r="I1190" s="26">
        <f>HYPERLINK("[P Only New retention.xlsx]'Lake P Results'!AM286", 11000)</f>
        <v>11000</v>
      </c>
      <c r="J1190" s="26">
        <f>HYPERLINK("[P Only with New retention and Differentiation.xlsx]'Lake P Results'!AM286", 11000)</f>
        <v>11000</v>
      </c>
      <c r="K1190" s="18"/>
      <c r="L1190" s="18"/>
      <c r="M1190" s="27">
        <f>HYPERLINK("[P Only Old retention.xlsx]'Lake P Results'!AC286", 35.88)</f>
        <v>35.880000000000003</v>
      </c>
      <c r="N1190" s="27">
        <f>HYPERLINK("[P Only New retention.xlsx]'Lake P Results'!AC286", 35.736)</f>
        <v>35.735999999999997</v>
      </c>
      <c r="O1190" s="27">
        <f>HYPERLINK("[P Only with New retention and Differentiation.xlsx]'Lake P Results'!AC286", 42.256)</f>
        <v>42.256</v>
      </c>
      <c r="P1190" s="47">
        <f>N1190-M1190</f>
        <v>-0.14400000000000546</v>
      </c>
      <c r="Q1190" s="46">
        <f>O1190-M1190</f>
        <v>6.3759999999999977</v>
      </c>
      <c r="R1190" s="27">
        <f>HYPERLINK("[P Only Old retention.xlsx]'Lake P Results'!Y286", 22.934)</f>
        <v>22.934000000000001</v>
      </c>
      <c r="S1190" s="27">
        <f>HYPERLINK("[P Only New retention.xlsx]'Lake P Results'!Y286", 28.658)</f>
        <v>28.658000000000001</v>
      </c>
      <c r="T1190" s="27">
        <f>HYPERLINK("[P Only with New retention and Differentiation.xlsx]'Lake P Results'!Y286", 13.688)</f>
        <v>13.688000000000001</v>
      </c>
      <c r="U1190" s="46">
        <f>S1190-R1190</f>
        <v>5.7240000000000002</v>
      </c>
      <c r="V1190" s="47">
        <f>T1190-R1190</f>
        <v>-9.2460000000000004</v>
      </c>
      <c r="W1190" s="27">
        <f>HYPERLINK("[P Only Old retention.xlsx]'Lake P Results'!V286", 36.47)</f>
        <v>36.47</v>
      </c>
      <c r="X1190" s="27">
        <f>HYPERLINK("[P Only New retention.xlsx]'Lake P Results'!V286", 36.47)</f>
        <v>36.47</v>
      </c>
      <c r="Y1190" s="27">
        <f>HYPERLINK("[P Only with New retention and Differentiation.xlsx]'Lake P Results'!V286", 36.47)</f>
        <v>36.47</v>
      </c>
      <c r="Z1190" s="18"/>
      <c r="AA1190" s="18"/>
      <c r="AB1190" s="27">
        <f>HYPERLINK("[P Only Old retention.xlsx]'Lake P Results'!Z286", 9.92)</f>
        <v>9.92</v>
      </c>
      <c r="AC1190" s="27">
        <f>HYPERLINK("[P Only New retention.xlsx]'Lake P Results'!Z286", 4.34)</f>
        <v>4.34</v>
      </c>
      <c r="AD1190" s="27">
        <f>HYPERLINK("[P Only with New retention and Differentiation.xlsx]'Lake P Results'!Z286", 12.79)</f>
        <v>12.79</v>
      </c>
      <c r="AE1190" s="47">
        <f>AC1190-AB1190</f>
        <v>-5.58</v>
      </c>
      <c r="AF1190" s="46">
        <f>AD1190-AB1190</f>
        <v>2.8699999999999992</v>
      </c>
      <c r="AG1190" s="18"/>
      <c r="AH1190" s="18"/>
      <c r="AI1190" s="18"/>
      <c r="AJ1190" s="18"/>
      <c r="AK1190" s="18"/>
      <c r="AL1190" s="27">
        <f>HYPERLINK("[P Only Old retention.xlsx]'Lake P Results'!AF286", 0.4)</f>
        <v>0.4</v>
      </c>
      <c r="AM1190" s="27">
        <f>HYPERLINK("[P Only New retention.xlsx]'Lake P Results'!AF286", 0.4)</f>
        <v>0.4</v>
      </c>
      <c r="AN1190" s="27">
        <f>HYPERLINK("[P Only with New retention and Differentiation.xlsx]'Lake P Results'!AF286", 0.4)</f>
        <v>0.4</v>
      </c>
      <c r="AO1190" s="18"/>
      <c r="AP1190" s="18"/>
      <c r="AQ1190" s="26">
        <f>HYPERLINK("[P Only Old retention.xlsx]'Lake P Results'!AH286", 700)</f>
        <v>700</v>
      </c>
      <c r="AR1190" s="26">
        <f>HYPERLINK("[P Only New retention.xlsx]'Lake P Results'!AH286", 700)</f>
        <v>700</v>
      </c>
      <c r="AS1190" s="26">
        <f>HYPERLINK("[P Only with New retention and Differentiation.xlsx]'Lake P Results'!AH286", 700)</f>
        <v>700</v>
      </c>
      <c r="AT1190" s="18"/>
      <c r="AU1190" s="18"/>
      <c r="AV1190" s="18"/>
      <c r="AW1190" s="18"/>
      <c r="AX1190" s="18"/>
      <c r="AY1190" s="18"/>
      <c r="AZ1190" s="18"/>
      <c r="BA1190" s="27">
        <f>HYPERLINK("[P Only Old retention.xlsx]'Lake P Results'!O286", 530.188)</f>
        <v>530.18799999999999</v>
      </c>
      <c r="BB1190" s="27">
        <f>HYPERLINK("[P Only New retention.xlsx]'Lake P Results'!O286", 530.188)</f>
        <v>530.18799999999999</v>
      </c>
      <c r="BC1190" s="27">
        <f>HYPERLINK("[P Only with New retention and Differentiation.xlsx]'Lake P Results'!O286", 530.188)</f>
        <v>530.18799999999999</v>
      </c>
      <c r="BD1190" s="18"/>
      <c r="BE1190" s="18"/>
      <c r="BF1190" s="18"/>
      <c r="BG1190" s="18"/>
      <c r="BH1190" s="18"/>
      <c r="BI1190" s="18"/>
      <c r="BJ1190" s="18"/>
      <c r="BK1190" s="18"/>
      <c r="BL1190" s="18"/>
      <c r="BM1190" s="18"/>
      <c r="BN1190" s="18"/>
      <c r="BO1190" s="18"/>
    </row>
    <row r="1191" spans="1:67" x14ac:dyDescent="0.55000000000000004">
      <c r="A1191" s="31">
        <v>704</v>
      </c>
      <c r="B1191" s="5" t="s">
        <v>597</v>
      </c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  <c r="AS1191" s="13"/>
      <c r="AT1191" s="13"/>
      <c r="AU1191" s="13"/>
      <c r="AV1191" s="13"/>
      <c r="AW1191" s="13"/>
      <c r="AX1191" s="13"/>
      <c r="AY1191" s="13"/>
      <c r="AZ1191" s="13"/>
      <c r="BA1191" s="13"/>
      <c r="BB1191" s="13"/>
      <c r="BC1191" s="13"/>
      <c r="BD1191" s="13"/>
      <c r="BE1191" s="13"/>
      <c r="BF1191" s="13"/>
      <c r="BG1191" s="13"/>
      <c r="BH1191" s="13"/>
      <c r="BI1191" s="13"/>
      <c r="BJ1191" s="13"/>
      <c r="BK1191" s="13"/>
      <c r="BL1191" s="13"/>
      <c r="BM1191" s="13"/>
      <c r="BN1191" s="13"/>
      <c r="BO1191" s="13"/>
    </row>
    <row r="1192" spans="1:67" x14ac:dyDescent="0.55000000000000004">
      <c r="A1192" s="30">
        <v>709</v>
      </c>
      <c r="B1192" s="6" t="s">
        <v>598</v>
      </c>
      <c r="C1192" s="27">
        <f>HYPERLINK("[P Only Old retention.xlsx]'Lake P Results'!AE288", 61.368)</f>
        <v>61.368000000000002</v>
      </c>
      <c r="D1192" s="27">
        <f>HYPERLINK("[P Only New retention.xlsx]'Lake P Results'!AE288", 61.368)</f>
        <v>61.368000000000002</v>
      </c>
      <c r="E1192" s="27">
        <f>HYPERLINK("[P Only with New retention and Differentiation.xlsx]'Lake P Results'!AE288", 61.368)</f>
        <v>61.368000000000002</v>
      </c>
      <c r="F1192" s="18"/>
      <c r="G1192" s="18"/>
      <c r="H1192" s="26">
        <f>HYPERLINK("[P Only Old retention.xlsx]'Lake P Results'!AM288", 142200)</f>
        <v>142200</v>
      </c>
      <c r="I1192" s="26">
        <f>HYPERLINK("[P Only New retention.xlsx]'Lake P Results'!AM288", 142100)</f>
        <v>142100</v>
      </c>
      <c r="J1192" s="26">
        <f>HYPERLINK("[P Only with New retention and Differentiation.xlsx]'Lake P Results'!AM288", 142100)</f>
        <v>142100</v>
      </c>
      <c r="K1192" s="21">
        <f>I1192-H1192</f>
        <v>-100</v>
      </c>
      <c r="L1192" s="21">
        <f>J1192-H1192</f>
        <v>-100</v>
      </c>
      <c r="M1192" s="27">
        <f>HYPERLINK("[P Only Old retention.xlsx]'Lake P Results'!AC288", 2006.682)</f>
        <v>2006.682</v>
      </c>
      <c r="N1192" s="27">
        <f>HYPERLINK("[P Only New retention.xlsx]'Lake P Results'!AC288", 1990.842)</f>
        <v>1990.8420000000001</v>
      </c>
      <c r="O1192" s="27">
        <f>HYPERLINK("[P Only with New retention and Differentiation.xlsx]'Lake P Results'!AC288", 2169.38)</f>
        <v>2169.38</v>
      </c>
      <c r="P1192" s="47">
        <f>N1192-M1192</f>
        <v>-15.839999999999918</v>
      </c>
      <c r="Q1192" s="46">
        <f>O1192-M1192</f>
        <v>162.69800000000009</v>
      </c>
      <c r="R1192" s="27">
        <f>HYPERLINK("[P Only Old retention.xlsx]'Lake P Results'!Y288", 571.09)</f>
        <v>571.09</v>
      </c>
      <c r="S1192" s="27">
        <f>HYPERLINK("[P Only New retention.xlsx]'Lake P Results'!Y288", 654.068)</f>
        <v>654.06799999999998</v>
      </c>
      <c r="T1192" s="27">
        <f>HYPERLINK("[P Only with New retention and Differentiation.xlsx]'Lake P Results'!Y288", 565.472)</f>
        <v>565.47199999999998</v>
      </c>
      <c r="U1192" s="46">
        <f>S1192-R1192</f>
        <v>82.977999999999952</v>
      </c>
      <c r="V1192" s="47">
        <f>T1192-R1192</f>
        <v>-5.6180000000000518</v>
      </c>
      <c r="W1192" s="27">
        <f>HYPERLINK("[P Only Old retention.xlsx]'Lake P Results'!V288", 708.216)</f>
        <v>708.21600000000001</v>
      </c>
      <c r="X1192" s="27">
        <f>HYPERLINK("[P Only New retention.xlsx]'Lake P Results'!V288", 708.216)</f>
        <v>708.21600000000001</v>
      </c>
      <c r="Y1192" s="27">
        <f>HYPERLINK("[P Only with New retention and Differentiation.xlsx]'Lake P Results'!V288", 708.216)</f>
        <v>708.21600000000001</v>
      </c>
      <c r="Z1192" s="18"/>
      <c r="AA1192" s="18"/>
      <c r="AB1192" s="27">
        <f>HYPERLINK("[P Only Old retention.xlsx]'Lake P Results'!Z288", 837.552)</f>
        <v>837.55200000000002</v>
      </c>
      <c r="AC1192" s="27">
        <f>HYPERLINK("[P Only New retention.xlsx]'Lake P Results'!Z288", 778.454)</f>
        <v>778.45399999999995</v>
      </c>
      <c r="AD1192" s="27">
        <f>HYPERLINK("[P Only with New retention and Differentiation.xlsx]'Lake P Results'!Z288", 708.072)</f>
        <v>708.072</v>
      </c>
      <c r="AE1192" s="47">
        <f>AC1192-AB1192</f>
        <v>-59.09800000000007</v>
      </c>
      <c r="AF1192" s="47">
        <f>AD1192-AB1192</f>
        <v>-129.48000000000002</v>
      </c>
      <c r="AG1192" s="27">
        <f>HYPERLINK("[P Only Old retention.xlsx]'Lake P Results'!AA288", 14.348)</f>
        <v>14.348000000000001</v>
      </c>
      <c r="AH1192" s="27">
        <f>HYPERLINK("[P Only New retention.xlsx]'Lake P Results'!AA288", 14.348)</f>
        <v>14.348000000000001</v>
      </c>
      <c r="AI1192" s="27">
        <f>HYPERLINK("[P Only with New retention and Differentiation.xlsx]'Lake P Results'!AA288", 14.348)</f>
        <v>14.348000000000001</v>
      </c>
      <c r="AJ1192" s="18"/>
      <c r="AK1192" s="18"/>
      <c r="AL1192" s="27">
        <f>HYPERLINK("[P Only Old retention.xlsx]'Lake P Results'!AF288", 0.42)</f>
        <v>0.42</v>
      </c>
      <c r="AM1192" s="27">
        <f>HYPERLINK("[P Only New retention.xlsx]'Lake P Results'!AF288", 0.42)</f>
        <v>0.42</v>
      </c>
      <c r="AN1192" s="27">
        <f>HYPERLINK("[P Only with New retention and Differentiation.xlsx]'Lake P Results'!AF288", 0.42)</f>
        <v>0.42</v>
      </c>
      <c r="AO1192" s="18"/>
      <c r="AP1192" s="18"/>
      <c r="AQ1192" s="26">
        <f>HYPERLINK("[P Only Old retention.xlsx]'Lake P Results'!AH288", 7909.99999999759)</f>
        <v>7909.9999999975898</v>
      </c>
      <c r="AR1192" s="26">
        <f>HYPERLINK("[P Only New retention.xlsx]'Lake P Results'!AH288", 7879.99999999759)</f>
        <v>7879.9999999975898</v>
      </c>
      <c r="AS1192" s="26">
        <f>HYPERLINK("[P Only with New retention and Differentiation.xlsx]'Lake P Results'!AH288", 7919.99999999757)</f>
        <v>7919.9999999975698</v>
      </c>
      <c r="AT1192" s="21">
        <f>AR1192-AQ1192</f>
        <v>-30</v>
      </c>
      <c r="AU1192" s="16">
        <f>AS1192-AQ1192</f>
        <v>9.9999999999799911</v>
      </c>
      <c r="AV1192" s="27">
        <f>HYPERLINK("[P Only Old retention.xlsx]'Lake P Results'!M288", 1.62)</f>
        <v>1.62</v>
      </c>
      <c r="AW1192" s="18"/>
      <c r="AX1192" s="18"/>
      <c r="AY1192" s="47">
        <f>AW1192-AV1192</f>
        <v>-1.62</v>
      </c>
      <c r="AZ1192" s="47">
        <f>AX1192-AV1192</f>
        <v>-1.62</v>
      </c>
      <c r="BA1192" s="27">
        <f>HYPERLINK("[P Only Old retention.xlsx]'Lake P Results'!O288", 2893.61)</f>
        <v>2893.61</v>
      </c>
      <c r="BB1192" s="27">
        <f>HYPERLINK("[P Only New retention.xlsx]'Lake P Results'!O288", 2887.19)</f>
        <v>2887.19</v>
      </c>
      <c r="BC1192" s="27">
        <f>HYPERLINK("[P Only with New retention and Differentiation.xlsx]'Lake P Results'!O288", 2867.63)</f>
        <v>2867.63</v>
      </c>
      <c r="BD1192" s="47">
        <f>BB1192-BA1192</f>
        <v>-6.4200000000000728</v>
      </c>
      <c r="BE1192" s="47">
        <f>BC1192-BA1192</f>
        <v>-25.980000000000018</v>
      </c>
      <c r="BF1192" s="18"/>
      <c r="BG1192" s="18"/>
      <c r="BH1192" s="18"/>
      <c r="BI1192" s="18"/>
      <c r="BJ1192" s="18"/>
      <c r="BK1192" s="18"/>
      <c r="BL1192" s="18"/>
      <c r="BM1192" s="18"/>
      <c r="BN1192" s="18"/>
      <c r="BO1192" s="18"/>
    </row>
    <row r="1193" spans="1:67" x14ac:dyDescent="0.55000000000000004">
      <c r="A1193" s="31">
        <v>712</v>
      </c>
      <c r="B1193" s="5" t="s">
        <v>599</v>
      </c>
      <c r="C1193" s="29">
        <f>HYPERLINK("[P Only Old retention.xlsx]'Lake P Results'!AE289", 0.0439999999999999)</f>
        <v>4.39999999999999E-2</v>
      </c>
      <c r="D1193" s="29">
        <f>HYPERLINK("[P Only New retention.xlsx]'Lake P Results'!AE289", 0.0439999999999999)</f>
        <v>4.39999999999999E-2</v>
      </c>
      <c r="E1193" s="29">
        <f>HYPERLINK("[P Only with New retention and Differentiation.xlsx]'Lake P Results'!AE289", 0.0439999999999999)</f>
        <v>4.39999999999999E-2</v>
      </c>
      <c r="F1193" s="13"/>
      <c r="G1193" s="13"/>
      <c r="H1193" s="28">
        <f>HYPERLINK("[P Only Old retention.xlsx]'Lake P Results'!AM289", 1700)</f>
        <v>1700</v>
      </c>
      <c r="I1193" s="28">
        <f>HYPERLINK("[P Only New retention.xlsx]'Lake P Results'!AM289", 1700)</f>
        <v>1700</v>
      </c>
      <c r="J1193" s="28">
        <f>HYPERLINK("[P Only with New retention and Differentiation.xlsx]'Lake P Results'!AM289", 1700)</f>
        <v>1700</v>
      </c>
      <c r="K1193" s="13"/>
      <c r="L1193" s="13"/>
      <c r="M1193" s="29">
        <f>HYPERLINK("[P Only Old retention.xlsx]'Lake P Results'!AC289", 10.49)</f>
        <v>10.49</v>
      </c>
      <c r="N1193" s="29">
        <f>HYPERLINK("[P Only New retention.xlsx]'Lake P Results'!AC289", 10.49)</f>
        <v>10.49</v>
      </c>
      <c r="O1193" s="29">
        <f>HYPERLINK("[P Only with New retention and Differentiation.xlsx]'Lake P Results'!AC289", 10.49)</f>
        <v>10.49</v>
      </c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  <c r="AQ1193" s="28">
        <f>HYPERLINK("[P Only Old retention.xlsx]'Lake P Results'!AH289", 50)</f>
        <v>50</v>
      </c>
      <c r="AR1193" s="28">
        <f>HYPERLINK("[P Only New retention.xlsx]'Lake P Results'!AH289", 50)</f>
        <v>50</v>
      </c>
      <c r="AS1193" s="28">
        <f>HYPERLINK("[P Only with New retention and Differentiation.xlsx]'Lake P Results'!AH289", 50)</f>
        <v>50</v>
      </c>
      <c r="AT1193" s="13"/>
      <c r="AU1193" s="13"/>
      <c r="AV1193" s="13"/>
      <c r="AW1193" s="13"/>
      <c r="AX1193" s="13"/>
      <c r="AY1193" s="13"/>
      <c r="AZ1193" s="13"/>
      <c r="BA1193" s="29">
        <f>HYPERLINK("[P Only Old retention.xlsx]'Lake P Results'!O289", 49.308)</f>
        <v>49.308</v>
      </c>
      <c r="BB1193" s="29">
        <f>HYPERLINK("[P Only New retention.xlsx]'Lake P Results'!O289", 49.308)</f>
        <v>49.308</v>
      </c>
      <c r="BC1193" s="29">
        <f>HYPERLINK("[P Only with New retention and Differentiation.xlsx]'Lake P Results'!O289", 49.308)</f>
        <v>49.308</v>
      </c>
      <c r="BD1193" s="13"/>
      <c r="BE1193" s="13"/>
      <c r="BF1193" s="13"/>
      <c r="BG1193" s="13"/>
      <c r="BH1193" s="13"/>
      <c r="BI1193" s="13"/>
      <c r="BJ1193" s="13"/>
      <c r="BK1193" s="13"/>
      <c r="BL1193" s="13"/>
      <c r="BM1193" s="13"/>
      <c r="BN1193" s="13"/>
      <c r="BO1193" s="13"/>
    </row>
    <row r="1194" spans="1:67" x14ac:dyDescent="0.55000000000000004">
      <c r="A1194" s="30">
        <v>714</v>
      </c>
      <c r="B1194" s="6" t="s">
        <v>600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/>
      <c r="AV1194" s="18"/>
      <c r="AW1194" s="18"/>
      <c r="AX1194" s="18"/>
      <c r="AY1194" s="18"/>
      <c r="AZ1194" s="18"/>
      <c r="BA1194" s="18"/>
      <c r="BB1194" s="18"/>
      <c r="BC1194" s="18"/>
      <c r="BD1194" s="18"/>
      <c r="BE1194" s="18"/>
      <c r="BF1194" s="18"/>
      <c r="BG1194" s="18"/>
      <c r="BH1194" s="18"/>
      <c r="BI1194" s="18"/>
      <c r="BJ1194" s="18"/>
      <c r="BK1194" s="18"/>
      <c r="BL1194" s="18"/>
      <c r="BM1194" s="18"/>
      <c r="BN1194" s="18"/>
      <c r="BO1194" s="18"/>
    </row>
    <row r="1195" spans="1:67" x14ac:dyDescent="0.55000000000000004">
      <c r="A1195" s="31">
        <v>716</v>
      </c>
      <c r="B1195" s="5" t="s">
        <v>601</v>
      </c>
      <c r="C1195" s="13"/>
      <c r="D1195" s="13"/>
      <c r="E1195" s="13"/>
      <c r="F1195" s="13"/>
      <c r="G1195" s="13"/>
      <c r="H1195" s="28">
        <f>HYPERLINK("[P Only Old retention.xlsx]'Lake P Results'!AM291", 400)</f>
        <v>400</v>
      </c>
      <c r="I1195" s="28">
        <f>HYPERLINK("[P Only New retention.xlsx]'Lake P Results'!AM291", 400)</f>
        <v>400</v>
      </c>
      <c r="J1195" s="28">
        <f>HYPERLINK("[P Only with New retention and Differentiation.xlsx]'Lake P Results'!AM291", 400)</f>
        <v>400</v>
      </c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  <c r="AS1195" s="13"/>
      <c r="AT1195" s="13"/>
      <c r="AU1195" s="13"/>
      <c r="AV1195" s="13"/>
      <c r="AW1195" s="13"/>
      <c r="AX1195" s="13"/>
      <c r="AY1195" s="13"/>
      <c r="AZ1195" s="13"/>
      <c r="BA1195" s="29">
        <f>HYPERLINK("[P Only Old retention.xlsx]'Lake P Results'!O291", 28.04)</f>
        <v>28.04</v>
      </c>
      <c r="BB1195" s="29">
        <f>HYPERLINK("[P Only New retention.xlsx]'Lake P Results'!O291", 28.04)</f>
        <v>28.04</v>
      </c>
      <c r="BC1195" s="29">
        <f>HYPERLINK("[P Only with New retention and Differentiation.xlsx]'Lake P Results'!O291", 28.04)</f>
        <v>28.04</v>
      </c>
      <c r="BD1195" s="13"/>
      <c r="BE1195" s="13"/>
      <c r="BF1195" s="13"/>
      <c r="BG1195" s="13"/>
      <c r="BH1195" s="13"/>
      <c r="BI1195" s="13"/>
      <c r="BJ1195" s="13"/>
      <c r="BK1195" s="13"/>
      <c r="BL1195" s="13"/>
      <c r="BM1195" s="13"/>
      <c r="BN1195" s="13"/>
      <c r="BO1195" s="13"/>
    </row>
    <row r="1196" spans="1:67" x14ac:dyDescent="0.55000000000000004">
      <c r="A1196" s="30">
        <v>717</v>
      </c>
      <c r="B1196" s="6" t="s">
        <v>602</v>
      </c>
      <c r="C1196" s="18"/>
      <c r="D1196" s="18"/>
      <c r="E1196" s="18"/>
      <c r="F1196" s="18"/>
      <c r="G1196" s="18"/>
      <c r="H1196" s="26">
        <f>HYPERLINK("[P Only Old retention.xlsx]'Lake P Results'!AM292", 400)</f>
        <v>400</v>
      </c>
      <c r="I1196" s="26">
        <f>HYPERLINK("[P Only New retention.xlsx]'Lake P Results'!AM292", 400)</f>
        <v>400</v>
      </c>
      <c r="J1196" s="26">
        <f>HYPERLINK("[P Only with New retention and Differentiation.xlsx]'Lake P Results'!AM292", 400)</f>
        <v>400</v>
      </c>
      <c r="K1196" s="18"/>
      <c r="L1196" s="18"/>
      <c r="M1196" s="27">
        <f>HYPERLINK("[P Only Old retention.xlsx]'Lake P Results'!AC292", 32.13)</f>
        <v>32.130000000000003</v>
      </c>
      <c r="N1196" s="27">
        <f>HYPERLINK("[P Only New retention.xlsx]'Lake P Results'!AC292", 32.13)</f>
        <v>32.130000000000003</v>
      </c>
      <c r="O1196" s="27">
        <f>HYPERLINK("[P Only with New retention and Differentiation.xlsx]'Lake P Results'!AC292", 32.13)</f>
        <v>32.130000000000003</v>
      </c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  <c r="AO1196" s="18"/>
      <c r="AP1196" s="18"/>
      <c r="AQ1196" s="18"/>
      <c r="AR1196" s="18"/>
      <c r="AS1196" s="18"/>
      <c r="AT1196" s="18"/>
      <c r="AU1196" s="18"/>
      <c r="AV1196" s="18"/>
      <c r="AW1196" s="18"/>
      <c r="AX1196" s="18"/>
      <c r="AY1196" s="18"/>
      <c r="AZ1196" s="18"/>
      <c r="BA1196" s="27">
        <f>HYPERLINK("[P Only Old retention.xlsx]'Lake P Results'!O292", 0.052)</f>
        <v>5.1999999999999998E-2</v>
      </c>
      <c r="BB1196" s="27">
        <f>HYPERLINK("[P Only New retention.xlsx]'Lake P Results'!O292", 0.052)</f>
        <v>5.1999999999999998E-2</v>
      </c>
      <c r="BC1196" s="27">
        <f>HYPERLINK("[P Only with New retention and Differentiation.xlsx]'Lake P Results'!O292", 0.052)</f>
        <v>5.1999999999999998E-2</v>
      </c>
      <c r="BD1196" s="18"/>
      <c r="BE1196" s="18"/>
      <c r="BF1196" s="18"/>
      <c r="BG1196" s="18"/>
      <c r="BH1196" s="18"/>
      <c r="BI1196" s="18"/>
      <c r="BJ1196" s="18"/>
      <c r="BK1196" s="18"/>
      <c r="BL1196" s="18"/>
      <c r="BM1196" s="18"/>
      <c r="BN1196" s="18"/>
      <c r="BO1196" s="18"/>
    </row>
    <row r="1197" spans="1:67" x14ac:dyDescent="0.55000000000000004">
      <c r="A1197" s="31">
        <v>718</v>
      </c>
      <c r="B1197" s="5" t="s">
        <v>603</v>
      </c>
      <c r="C1197" s="29">
        <f>HYPERLINK("[P Only Old retention.xlsx]'Lake P Results'!AE293", 6.272)</f>
        <v>6.2720000000000002</v>
      </c>
      <c r="D1197" s="29">
        <f>HYPERLINK("[P Only New retention.xlsx]'Lake P Results'!AE293", 6.254)</f>
        <v>6.2539999999999996</v>
      </c>
      <c r="E1197" s="29">
        <f>HYPERLINK("[P Only with New retention and Differentiation.xlsx]'Lake P Results'!AE293", 6.184)</f>
        <v>6.1840000000000002</v>
      </c>
      <c r="F1197" s="47">
        <f>D1197-C1197</f>
        <v>-1.8000000000000682E-2</v>
      </c>
      <c r="G1197" s="47">
        <f>E1197-C1197</f>
        <v>-8.8000000000000078E-2</v>
      </c>
      <c r="H1197" s="28">
        <f>HYPERLINK("[P Only Old retention.xlsx]'Lake P Results'!AM293", 5600)</f>
        <v>5600</v>
      </c>
      <c r="I1197" s="28">
        <f>HYPERLINK("[P Only New retention.xlsx]'Lake P Results'!AM293", 5700)</f>
        <v>5700</v>
      </c>
      <c r="J1197" s="28">
        <f>HYPERLINK("[P Only with New retention and Differentiation.xlsx]'Lake P Results'!AM293", 6000)</f>
        <v>6000</v>
      </c>
      <c r="K1197" s="16">
        <f>I1197-H1197</f>
        <v>100</v>
      </c>
      <c r="L1197" s="16">
        <f>J1197-H1197</f>
        <v>400</v>
      </c>
      <c r="M1197" s="29">
        <f>HYPERLINK("[P Only Old retention.xlsx]'Lake P Results'!AC293", 0.44)</f>
        <v>0.44</v>
      </c>
      <c r="N1197" s="13"/>
      <c r="O1197" s="13"/>
      <c r="P1197" s="47">
        <f>N1197-M1197</f>
        <v>-0.44</v>
      </c>
      <c r="Q1197" s="47">
        <f>O1197-M1197</f>
        <v>-0.44</v>
      </c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29">
        <f>HYPERLINK("[P Only Old retention.xlsx]'Lake P Results'!AA293", 1.956)</f>
        <v>1.956</v>
      </c>
      <c r="AH1197" s="29">
        <f>HYPERLINK("[P Only New retention.xlsx]'Lake P Results'!AA293", 1.956)</f>
        <v>1.956</v>
      </c>
      <c r="AI1197" s="29">
        <f>HYPERLINK("[P Only with New retention and Differentiation.xlsx]'Lake P Results'!AA293", 1.956)</f>
        <v>1.956</v>
      </c>
      <c r="AJ1197" s="13"/>
      <c r="AK1197" s="13"/>
      <c r="AL1197" s="13"/>
      <c r="AM1197" s="13"/>
      <c r="AN1197" s="13"/>
      <c r="AO1197" s="13"/>
      <c r="AP1197" s="13"/>
      <c r="AQ1197" s="13"/>
      <c r="AR1197" s="13"/>
      <c r="AS1197" s="13"/>
      <c r="AT1197" s="13"/>
      <c r="AU1197" s="13"/>
      <c r="AV1197" s="13"/>
      <c r="AW1197" s="13"/>
      <c r="AX1197" s="13"/>
      <c r="AY1197" s="13"/>
      <c r="AZ1197" s="13"/>
      <c r="BA1197" s="13"/>
      <c r="BB1197" s="13"/>
      <c r="BC1197" s="13"/>
      <c r="BD1197" s="13"/>
      <c r="BE1197" s="13"/>
      <c r="BF1197" s="13"/>
      <c r="BG1197" s="13"/>
      <c r="BH1197" s="13"/>
      <c r="BI1197" s="13"/>
      <c r="BJ1197" s="13"/>
      <c r="BK1197" s="13"/>
      <c r="BL1197" s="13"/>
      <c r="BM1197" s="13"/>
      <c r="BN1197" s="13"/>
      <c r="BO1197" s="13"/>
    </row>
    <row r="1198" spans="1:67" x14ac:dyDescent="0.55000000000000004">
      <c r="A1198" s="30">
        <v>719</v>
      </c>
      <c r="B1198" s="6" t="s">
        <v>604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  <c r="AV1198" s="18"/>
      <c r="AW1198" s="18"/>
      <c r="AX1198" s="18"/>
      <c r="AY1198" s="18"/>
      <c r="AZ1198" s="18"/>
      <c r="BA1198" s="18"/>
      <c r="BB1198" s="18"/>
      <c r="BC1198" s="18"/>
      <c r="BD1198" s="18"/>
      <c r="BE1198" s="18"/>
      <c r="BF1198" s="18"/>
      <c r="BG1198" s="18"/>
      <c r="BH1198" s="18"/>
      <c r="BI1198" s="18"/>
      <c r="BJ1198" s="18"/>
      <c r="BK1198" s="18"/>
      <c r="BL1198" s="18"/>
      <c r="BM1198" s="18"/>
      <c r="BN1198" s="18"/>
      <c r="BO1198" s="18"/>
    </row>
    <row r="1199" spans="1:67" x14ac:dyDescent="0.55000000000000004">
      <c r="A1199" s="31">
        <v>720</v>
      </c>
      <c r="B1199" s="5" t="s">
        <v>605</v>
      </c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  <c r="AS1199" s="13"/>
      <c r="AT1199" s="13"/>
      <c r="AU1199" s="13"/>
      <c r="AV1199" s="13"/>
      <c r="AW1199" s="13"/>
      <c r="AX1199" s="13"/>
      <c r="AY1199" s="13"/>
      <c r="AZ1199" s="13"/>
      <c r="BA1199" s="13"/>
      <c r="BB1199" s="13"/>
      <c r="BC1199" s="13"/>
      <c r="BD1199" s="13"/>
      <c r="BE1199" s="13"/>
      <c r="BF1199" s="13"/>
      <c r="BG1199" s="13"/>
      <c r="BH1199" s="13"/>
      <c r="BI1199" s="13"/>
      <c r="BJ1199" s="13"/>
      <c r="BK1199" s="13"/>
      <c r="BL1199" s="13"/>
      <c r="BM1199" s="13"/>
      <c r="BN1199" s="13"/>
      <c r="BO1199" s="13"/>
    </row>
    <row r="1200" spans="1:67" x14ac:dyDescent="0.55000000000000004">
      <c r="A1200" s="30">
        <v>722</v>
      </c>
      <c r="B1200" s="6" t="s">
        <v>606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  <c r="AV1200" s="18"/>
      <c r="AW1200" s="18"/>
      <c r="AX1200" s="18"/>
      <c r="AY1200" s="18"/>
      <c r="AZ1200" s="18"/>
      <c r="BA1200" s="18"/>
      <c r="BB1200" s="18"/>
      <c r="BC1200" s="18"/>
      <c r="BD1200" s="18"/>
      <c r="BE1200" s="18"/>
      <c r="BF1200" s="18"/>
      <c r="BG1200" s="18"/>
      <c r="BH1200" s="18"/>
      <c r="BI1200" s="18"/>
      <c r="BJ1200" s="18"/>
      <c r="BK1200" s="18"/>
      <c r="BL1200" s="18"/>
      <c r="BM1200" s="18"/>
      <c r="BN1200" s="18"/>
      <c r="BO1200" s="18"/>
    </row>
    <row r="1201" spans="1:67" x14ac:dyDescent="0.55000000000000004">
      <c r="A1201" s="31">
        <v>723</v>
      </c>
      <c r="B1201" s="5" t="s">
        <v>607</v>
      </c>
      <c r="C1201" s="29">
        <f>HYPERLINK("[P Only Old retention.xlsx]'Lake P Results'!AE297", 2.308)</f>
        <v>2.3079999999999998</v>
      </c>
      <c r="D1201" s="29">
        <f>HYPERLINK("[P Only New retention.xlsx]'Lake P Results'!AE297", 2.308)</f>
        <v>2.3079999999999998</v>
      </c>
      <c r="E1201" s="29">
        <f>HYPERLINK("[P Only with New retention and Differentiation.xlsx]'Lake P Results'!AE297", 2.308)</f>
        <v>2.3079999999999998</v>
      </c>
      <c r="F1201" s="13"/>
      <c r="G1201" s="13"/>
      <c r="H1201" s="28">
        <f>HYPERLINK("[P Only Old retention.xlsx]'Lake P Results'!AM297", 23200)</f>
        <v>23200</v>
      </c>
      <c r="I1201" s="28">
        <f>HYPERLINK("[P Only New retention.xlsx]'Lake P Results'!AM297", 23200)</f>
        <v>23200</v>
      </c>
      <c r="J1201" s="28">
        <f>HYPERLINK("[P Only with New retention and Differentiation.xlsx]'Lake P Results'!AM297", 23200)</f>
        <v>23200</v>
      </c>
      <c r="K1201" s="13"/>
      <c r="L1201" s="13"/>
      <c r="M1201" s="29">
        <f>HYPERLINK("[P Only Old retention.xlsx]'Lake P Results'!AC297", 19.502)</f>
        <v>19.501999999999999</v>
      </c>
      <c r="N1201" s="29">
        <f>HYPERLINK("[P Only New retention.xlsx]'Lake P Results'!AC297", 7.18)</f>
        <v>7.18</v>
      </c>
      <c r="O1201" s="29">
        <f>HYPERLINK("[P Only with New retention and Differentiation.xlsx]'Lake P Results'!AC297", 3.08)</f>
        <v>3.08</v>
      </c>
      <c r="P1201" s="47">
        <f>N1201-M1201</f>
        <v>-12.321999999999999</v>
      </c>
      <c r="Q1201" s="47">
        <f>O1201-M1201</f>
        <v>-16.421999999999997</v>
      </c>
      <c r="R1201" s="29">
        <f>HYPERLINK("[P Only Old retention.xlsx]'Lake P Results'!Y297", 28.598)</f>
        <v>28.597999999999999</v>
      </c>
      <c r="S1201" s="29">
        <f>HYPERLINK("[P Only New retention.xlsx]'Lake P Results'!Y297", 37.41)</f>
        <v>37.409999999999997</v>
      </c>
      <c r="T1201" s="29">
        <f>HYPERLINK("[P Only with New retention and Differentiation.xlsx]'Lake P Results'!Y297", 41.178)</f>
        <v>41.177999999999997</v>
      </c>
      <c r="U1201" s="46">
        <f>S1201-R1201</f>
        <v>8.8119999999999976</v>
      </c>
      <c r="V1201" s="46">
        <f>T1201-R1201</f>
        <v>12.579999999999998</v>
      </c>
      <c r="W1201" s="29">
        <f>HYPERLINK("[P Only Old retention.xlsx]'Lake P Results'!V297", 13.74)</f>
        <v>13.74</v>
      </c>
      <c r="X1201" s="29">
        <f>HYPERLINK("[P Only New retention.xlsx]'Lake P Results'!V297", 13.74)</f>
        <v>13.74</v>
      </c>
      <c r="Y1201" s="29">
        <f>HYPERLINK("[P Only with New retention and Differentiation.xlsx]'Lake P Results'!V297", 13.74)</f>
        <v>13.74</v>
      </c>
      <c r="Z1201" s="13"/>
      <c r="AA1201" s="13"/>
      <c r="AB1201" s="29">
        <f>HYPERLINK("[P Only Old retention.xlsx]'Lake P Results'!Z297", 0.826)</f>
        <v>0.82599999999999996</v>
      </c>
      <c r="AC1201" s="29">
        <f>HYPERLINK("[P Only New retention.xlsx]'Lake P Results'!Z297", 4.336)</f>
        <v>4.3360000000000003</v>
      </c>
      <c r="AD1201" s="29">
        <f>HYPERLINK("[P Only with New retention and Differentiation.xlsx]'Lake P Results'!Z297", 4.668)</f>
        <v>4.6680000000000001</v>
      </c>
      <c r="AE1201" s="46">
        <f>AC1201-AB1201</f>
        <v>3.5100000000000002</v>
      </c>
      <c r="AF1201" s="46">
        <f>AD1201-AB1201</f>
        <v>3.8420000000000001</v>
      </c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  <c r="AQ1201" s="28">
        <f>HYPERLINK("[P Only Old retention.xlsx]'Lake P Results'!AH297", 210)</f>
        <v>210</v>
      </c>
      <c r="AR1201" s="28">
        <f>HYPERLINK("[P Only New retention.xlsx]'Lake P Results'!AH297", 210)</f>
        <v>210</v>
      </c>
      <c r="AS1201" s="28">
        <f>HYPERLINK("[P Only with New retention and Differentiation.xlsx]'Lake P Results'!AH297", 210)</f>
        <v>210</v>
      </c>
      <c r="AT1201" s="13"/>
      <c r="AU1201" s="13"/>
      <c r="AV1201" s="13"/>
      <c r="AW1201" s="13"/>
      <c r="AX1201" s="13"/>
      <c r="AY1201" s="13"/>
      <c r="AZ1201" s="13"/>
      <c r="BA1201" s="29">
        <f>HYPERLINK("[P Only Old retention.xlsx]'Lake P Results'!O297", 138.404)</f>
        <v>138.404</v>
      </c>
      <c r="BB1201" s="29">
        <f>HYPERLINK("[P Only New retention.xlsx]'Lake P Results'!O297", 138.404)</f>
        <v>138.404</v>
      </c>
      <c r="BC1201" s="29">
        <f>HYPERLINK("[P Only with New retention and Differentiation.xlsx]'Lake P Results'!O297", 138.404)</f>
        <v>138.404</v>
      </c>
      <c r="BD1201" s="13"/>
      <c r="BE1201" s="13"/>
      <c r="BF1201" s="13"/>
      <c r="BG1201" s="13"/>
      <c r="BH1201" s="13"/>
      <c r="BI1201" s="13"/>
      <c r="BJ1201" s="13"/>
      <c r="BK1201" s="13"/>
      <c r="BL1201" s="13"/>
      <c r="BM1201" s="13"/>
      <c r="BN1201" s="13"/>
      <c r="BO1201" s="13"/>
    </row>
    <row r="1202" spans="1:67" x14ac:dyDescent="0.55000000000000004">
      <c r="A1202" s="30">
        <v>725</v>
      </c>
      <c r="B1202" s="6" t="s">
        <v>608</v>
      </c>
      <c r="C1202" s="18"/>
      <c r="D1202" s="18"/>
      <c r="E1202" s="18"/>
      <c r="F1202" s="18"/>
      <c r="G1202" s="18"/>
      <c r="H1202" s="26">
        <f>HYPERLINK("[P Only Old retention.xlsx]'Lake P Results'!AM298", 600)</f>
        <v>600</v>
      </c>
      <c r="I1202" s="26">
        <f>HYPERLINK("[P Only New retention.xlsx]'Lake P Results'!AM298", 600)</f>
        <v>600</v>
      </c>
      <c r="J1202" s="26">
        <f>HYPERLINK("[P Only with New retention and Differentiation.xlsx]'Lake P Results'!AM298", 600)</f>
        <v>600</v>
      </c>
      <c r="K1202" s="18"/>
      <c r="L1202" s="18"/>
      <c r="M1202" s="27">
        <f>HYPERLINK("[P Only Old retention.xlsx]'Lake P Results'!AC298", 29.026)</f>
        <v>29.026</v>
      </c>
      <c r="N1202" s="27">
        <f>HYPERLINK("[P Only New retention.xlsx]'Lake P Results'!AC298", 29.026)</f>
        <v>29.026</v>
      </c>
      <c r="O1202" s="27">
        <f>HYPERLINK("[P Only with New retention and Differentiation.xlsx]'Lake P Results'!AC298", 29.026)</f>
        <v>29.026</v>
      </c>
      <c r="P1202" s="18"/>
      <c r="Q1202" s="18"/>
      <c r="R1202" s="18"/>
      <c r="S1202" s="18"/>
      <c r="T1202" s="18"/>
      <c r="U1202" s="18"/>
      <c r="V1202" s="18"/>
      <c r="W1202" s="27">
        <f>HYPERLINK("[P Only Old retention.xlsx]'Lake P Results'!V298", 8.17)</f>
        <v>8.17</v>
      </c>
      <c r="X1202" s="27">
        <f>HYPERLINK("[P Only New retention.xlsx]'Lake P Results'!V298", 8.17)</f>
        <v>8.17</v>
      </c>
      <c r="Y1202" s="27">
        <f>HYPERLINK("[P Only with New retention and Differentiation.xlsx]'Lake P Results'!V298", 8.17)</f>
        <v>8.17</v>
      </c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  <c r="AO1202" s="18"/>
      <c r="AP1202" s="18"/>
      <c r="AQ1202" s="26">
        <f>HYPERLINK("[P Only Old retention.xlsx]'Lake P Results'!AH298", 50)</f>
        <v>50</v>
      </c>
      <c r="AR1202" s="26">
        <f>HYPERLINK("[P Only New retention.xlsx]'Lake P Results'!AH298", 50)</f>
        <v>50</v>
      </c>
      <c r="AS1202" s="26">
        <f>HYPERLINK("[P Only with New retention and Differentiation.xlsx]'Lake P Results'!AH298", 50)</f>
        <v>50</v>
      </c>
      <c r="AT1202" s="18"/>
      <c r="AU1202" s="18"/>
      <c r="AV1202" s="18"/>
      <c r="AW1202" s="18"/>
      <c r="AX1202" s="18"/>
      <c r="AY1202" s="18"/>
      <c r="AZ1202" s="18"/>
      <c r="BA1202" s="27">
        <f>HYPERLINK("[P Only Old retention.xlsx]'Lake P Results'!O298", 61.346)</f>
        <v>61.345999999999997</v>
      </c>
      <c r="BB1202" s="27">
        <f>HYPERLINK("[P Only New retention.xlsx]'Lake P Results'!O298", 61.346)</f>
        <v>61.345999999999997</v>
      </c>
      <c r="BC1202" s="27">
        <f>HYPERLINK("[P Only with New retention and Differentiation.xlsx]'Lake P Results'!O298", 61.346)</f>
        <v>61.345999999999997</v>
      </c>
      <c r="BD1202" s="18"/>
      <c r="BE1202" s="18"/>
      <c r="BF1202" s="18"/>
      <c r="BG1202" s="18"/>
      <c r="BH1202" s="18"/>
      <c r="BI1202" s="18"/>
      <c r="BJ1202" s="18"/>
      <c r="BK1202" s="18"/>
      <c r="BL1202" s="18"/>
      <c r="BM1202" s="18"/>
      <c r="BN1202" s="18"/>
      <c r="BO1202" s="18"/>
    </row>
    <row r="1203" spans="1:67" x14ac:dyDescent="0.55000000000000004">
      <c r="A1203" s="31">
        <v>726</v>
      </c>
      <c r="B1203" s="5" t="s">
        <v>609</v>
      </c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29">
        <f>HYPERLINK("[P Only Old retention.xlsx]'Lake P Results'!V299", 12.79)</f>
        <v>12.79</v>
      </c>
      <c r="X1203" s="29">
        <f>HYPERLINK("[P Only New retention.xlsx]'Lake P Results'!V299", 12.79)</f>
        <v>12.79</v>
      </c>
      <c r="Y1203" s="29">
        <f>HYPERLINK("[P Only with New retention and Differentiation.xlsx]'Lake P Results'!V299", 12.79)</f>
        <v>12.79</v>
      </c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  <c r="AQ1203" s="28">
        <f>HYPERLINK("[P Only Old retention.xlsx]'Lake P Results'!AH299", 20)</f>
        <v>20</v>
      </c>
      <c r="AR1203" s="28">
        <f>HYPERLINK("[P Only New retention.xlsx]'Lake P Results'!AH299", 20)</f>
        <v>20</v>
      </c>
      <c r="AS1203" s="28">
        <f>HYPERLINK("[P Only with New retention and Differentiation.xlsx]'Lake P Results'!AH299", 20)</f>
        <v>20</v>
      </c>
      <c r="AT1203" s="13"/>
      <c r="AU1203" s="13"/>
      <c r="AV1203" s="13"/>
      <c r="AW1203" s="13"/>
      <c r="AX1203" s="13"/>
      <c r="AY1203" s="13"/>
      <c r="AZ1203" s="13"/>
      <c r="BA1203" s="29">
        <f>HYPERLINK("[P Only Old retention.xlsx]'Lake P Results'!O299", 9.36)</f>
        <v>9.36</v>
      </c>
      <c r="BB1203" s="29">
        <f>HYPERLINK("[P Only New retention.xlsx]'Lake P Results'!O299", 9.36)</f>
        <v>9.36</v>
      </c>
      <c r="BC1203" s="29">
        <f>HYPERLINK("[P Only with New retention and Differentiation.xlsx]'Lake P Results'!O299", 9.36)</f>
        <v>9.36</v>
      </c>
      <c r="BD1203" s="13"/>
      <c r="BE1203" s="13"/>
      <c r="BF1203" s="13"/>
      <c r="BG1203" s="13"/>
      <c r="BH1203" s="13"/>
      <c r="BI1203" s="13"/>
      <c r="BJ1203" s="13"/>
      <c r="BK1203" s="13"/>
      <c r="BL1203" s="13"/>
      <c r="BM1203" s="13"/>
      <c r="BN1203" s="13"/>
      <c r="BO1203" s="13"/>
    </row>
    <row r="1204" spans="1:67" x14ac:dyDescent="0.55000000000000004">
      <c r="A1204" s="30">
        <v>727</v>
      </c>
      <c r="B1204" s="6" t="s">
        <v>610</v>
      </c>
      <c r="C1204" s="18"/>
      <c r="D1204" s="18"/>
      <c r="E1204" s="18"/>
      <c r="F1204" s="18"/>
      <c r="G1204" s="18"/>
      <c r="H1204" s="26">
        <f>HYPERLINK("[P Only Old retention.xlsx]'Lake P Results'!AM300", 500)</f>
        <v>500</v>
      </c>
      <c r="I1204" s="26">
        <f>HYPERLINK("[P Only New retention.xlsx]'Lake P Results'!AM300", 500)</f>
        <v>500</v>
      </c>
      <c r="J1204" s="26">
        <f>HYPERLINK("[P Only with New retention and Differentiation.xlsx]'Lake P Results'!AM300", 500)</f>
        <v>500</v>
      </c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  <c r="AO1204" s="18"/>
      <c r="AP1204" s="18"/>
      <c r="AQ1204" s="26">
        <f>HYPERLINK("[P Only Old retention.xlsx]'Lake P Results'!AH300", 20)</f>
        <v>20</v>
      </c>
      <c r="AR1204" s="26">
        <f>HYPERLINK("[P Only New retention.xlsx]'Lake P Results'!AH300", 20)</f>
        <v>20</v>
      </c>
      <c r="AS1204" s="26">
        <f>HYPERLINK("[P Only with New retention and Differentiation.xlsx]'Lake P Results'!AH300", 20)</f>
        <v>20</v>
      </c>
      <c r="AT1204" s="18"/>
      <c r="AU1204" s="18"/>
      <c r="AV1204" s="18"/>
      <c r="AW1204" s="18"/>
      <c r="AX1204" s="18"/>
      <c r="AY1204" s="18"/>
      <c r="AZ1204" s="18"/>
      <c r="BA1204" s="18"/>
      <c r="BB1204" s="18"/>
      <c r="BC1204" s="18"/>
      <c r="BD1204" s="18"/>
      <c r="BE1204" s="18"/>
      <c r="BF1204" s="18"/>
      <c r="BG1204" s="18"/>
      <c r="BH1204" s="18"/>
      <c r="BI1204" s="18"/>
      <c r="BJ1204" s="18"/>
      <c r="BK1204" s="18"/>
      <c r="BL1204" s="18"/>
      <c r="BM1204" s="18"/>
      <c r="BN1204" s="18"/>
      <c r="BO1204" s="18"/>
    </row>
    <row r="1205" spans="1:67" x14ac:dyDescent="0.55000000000000004">
      <c r="A1205" s="31">
        <v>729</v>
      </c>
      <c r="B1205" s="5" t="s">
        <v>611</v>
      </c>
      <c r="C1205" s="29">
        <f>HYPERLINK("[P Only Old retention.xlsx]'Lake P Results'!AE301", 0.46)</f>
        <v>0.46</v>
      </c>
      <c r="D1205" s="29">
        <f>HYPERLINK("[P Only New retention.xlsx]'Lake P Results'!AE301", 0.46)</f>
        <v>0.46</v>
      </c>
      <c r="E1205" s="29">
        <f>HYPERLINK("[P Only with New retention and Differentiation.xlsx]'Lake P Results'!AE301", 0.46)</f>
        <v>0.46</v>
      </c>
      <c r="F1205" s="13"/>
      <c r="G1205" s="13"/>
      <c r="H1205" s="28">
        <f>HYPERLINK("[P Only Old retention.xlsx]'Lake P Results'!AM301", 7600)</f>
        <v>7600</v>
      </c>
      <c r="I1205" s="28">
        <f>HYPERLINK("[P Only New retention.xlsx]'Lake P Results'!AM301", 7600)</f>
        <v>7600</v>
      </c>
      <c r="J1205" s="28">
        <f>HYPERLINK("[P Only with New retention and Differentiation.xlsx]'Lake P Results'!AM301", 7600)</f>
        <v>7600</v>
      </c>
      <c r="K1205" s="13"/>
      <c r="L1205" s="13"/>
      <c r="M1205" s="29">
        <f>HYPERLINK("[P Only Old retention.xlsx]'Lake P Results'!AC301", 137.492)</f>
        <v>137.49199999999999</v>
      </c>
      <c r="N1205" s="29">
        <f>HYPERLINK("[P Only New retention.xlsx]'Lake P Results'!AC301", 137.492)</f>
        <v>137.49199999999999</v>
      </c>
      <c r="O1205" s="29">
        <f>HYPERLINK("[P Only with New retention and Differentiation.xlsx]'Lake P Results'!AC301", 137.492)</f>
        <v>137.49199999999999</v>
      </c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29">
        <f>HYPERLINK("[P Only Old retention.xlsx]'Lake P Results'!AF301", 0.14)</f>
        <v>0.14000000000000001</v>
      </c>
      <c r="AM1205" s="29">
        <f>HYPERLINK("[P Only New retention.xlsx]'Lake P Results'!AF301", 0.14)</f>
        <v>0.14000000000000001</v>
      </c>
      <c r="AN1205" s="29">
        <f>HYPERLINK("[P Only with New retention and Differentiation.xlsx]'Lake P Results'!AF301", 0.14)</f>
        <v>0.14000000000000001</v>
      </c>
      <c r="AO1205" s="13"/>
      <c r="AP1205" s="13"/>
      <c r="AQ1205" s="28">
        <f>HYPERLINK("[P Only Old retention.xlsx]'Lake P Results'!AH301", 320)</f>
        <v>320</v>
      </c>
      <c r="AR1205" s="28">
        <f>HYPERLINK("[P Only New retention.xlsx]'Lake P Results'!AH301", 320)</f>
        <v>320</v>
      </c>
      <c r="AS1205" s="28">
        <f>HYPERLINK("[P Only with New retention and Differentiation.xlsx]'Lake P Results'!AH301", 320)</f>
        <v>320</v>
      </c>
      <c r="AT1205" s="13"/>
      <c r="AU1205" s="13"/>
      <c r="AV1205" s="13"/>
      <c r="AW1205" s="13"/>
      <c r="AX1205" s="13"/>
      <c r="AY1205" s="13"/>
      <c r="AZ1205" s="13"/>
      <c r="BA1205" s="29">
        <f>HYPERLINK("[P Only Old retention.xlsx]'Lake P Results'!O301", 198.512)</f>
        <v>198.512</v>
      </c>
      <c r="BB1205" s="29">
        <f>HYPERLINK("[P Only New retention.xlsx]'Lake P Results'!O301", 198.512)</f>
        <v>198.512</v>
      </c>
      <c r="BC1205" s="29">
        <f>HYPERLINK("[P Only with New retention and Differentiation.xlsx]'Lake P Results'!O301", 198.512)</f>
        <v>198.512</v>
      </c>
      <c r="BD1205" s="13"/>
      <c r="BE1205" s="13"/>
      <c r="BF1205" s="13"/>
      <c r="BG1205" s="13"/>
      <c r="BH1205" s="13"/>
      <c r="BI1205" s="13"/>
      <c r="BJ1205" s="13"/>
      <c r="BK1205" s="13"/>
      <c r="BL1205" s="13"/>
      <c r="BM1205" s="13"/>
      <c r="BN1205" s="13"/>
      <c r="BO1205" s="13"/>
    </row>
    <row r="1206" spans="1:67" x14ac:dyDescent="0.55000000000000004">
      <c r="A1206" s="30">
        <v>730</v>
      </c>
      <c r="B1206" s="6" t="s">
        <v>612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/>
      <c r="AS1206" s="18"/>
      <c r="AT1206" s="18"/>
      <c r="AU1206" s="18"/>
      <c r="AV1206" s="18"/>
      <c r="AW1206" s="18"/>
      <c r="AX1206" s="18"/>
      <c r="AY1206" s="18"/>
      <c r="AZ1206" s="18"/>
      <c r="BA1206" s="18"/>
      <c r="BB1206" s="18"/>
      <c r="BC1206" s="18"/>
      <c r="BD1206" s="18"/>
      <c r="BE1206" s="18"/>
      <c r="BF1206" s="18"/>
      <c r="BG1206" s="18"/>
      <c r="BH1206" s="18"/>
      <c r="BI1206" s="18"/>
      <c r="BJ1206" s="18"/>
      <c r="BK1206" s="18"/>
      <c r="BL1206" s="18"/>
      <c r="BM1206" s="18"/>
      <c r="BN1206" s="18"/>
      <c r="BO1206" s="18"/>
    </row>
    <row r="1207" spans="1:67" x14ac:dyDescent="0.55000000000000004">
      <c r="A1207" s="31">
        <v>732</v>
      </c>
      <c r="B1207" s="5" t="s">
        <v>613</v>
      </c>
      <c r="C1207" s="13"/>
      <c r="D1207" s="13"/>
      <c r="E1207" s="13"/>
      <c r="F1207" s="13"/>
      <c r="G1207" s="13"/>
      <c r="H1207" s="28">
        <f>HYPERLINK("[P Only Old retention.xlsx]'Lake P Results'!AM303", 2100)</f>
        <v>2100</v>
      </c>
      <c r="I1207" s="28">
        <f>HYPERLINK("[P Only New retention.xlsx]'Lake P Results'!AM303", 2300)</f>
        <v>2300</v>
      </c>
      <c r="J1207" s="28">
        <f>HYPERLINK("[P Only with New retention and Differentiation.xlsx]'Lake P Results'!AM303", 2100)</f>
        <v>2100</v>
      </c>
      <c r="K1207" s="16">
        <f>I1207-H1207</f>
        <v>200</v>
      </c>
      <c r="L1207" s="13"/>
      <c r="M1207" s="29">
        <f>HYPERLINK("[P Only Old retention.xlsx]'Lake P Results'!AC303", 185.43)</f>
        <v>185.43</v>
      </c>
      <c r="N1207" s="29">
        <f>HYPERLINK("[P Only New retention.xlsx]'Lake P Results'!AC303", 190.63)</f>
        <v>190.63</v>
      </c>
      <c r="O1207" s="29">
        <f>HYPERLINK("[P Only with New retention and Differentiation.xlsx]'Lake P Results'!AC303", 175.8)</f>
        <v>175.8</v>
      </c>
      <c r="P1207" s="46">
        <f>N1207-M1207</f>
        <v>5.1999999999999886</v>
      </c>
      <c r="Q1207" s="47">
        <f>O1207-M1207</f>
        <v>-9.6299999999999955</v>
      </c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  <c r="AQ1207" s="28">
        <f>HYPERLINK("[P Only Old retention.xlsx]'Lake P Results'!AH303", 100)</f>
        <v>100</v>
      </c>
      <c r="AR1207" s="28">
        <f>HYPERLINK("[P Only New retention.xlsx]'Lake P Results'!AH303", 100)</f>
        <v>100</v>
      </c>
      <c r="AS1207" s="28">
        <f>HYPERLINK("[P Only with New retention and Differentiation.xlsx]'Lake P Results'!AH303", 100)</f>
        <v>100</v>
      </c>
      <c r="AT1207" s="13"/>
      <c r="AU1207" s="13"/>
      <c r="AV1207" s="13"/>
      <c r="AW1207" s="13"/>
      <c r="AX1207" s="13"/>
      <c r="AY1207" s="13"/>
      <c r="AZ1207" s="13"/>
      <c r="BA1207" s="13"/>
      <c r="BB1207" s="13"/>
      <c r="BC1207" s="13"/>
      <c r="BD1207" s="13"/>
      <c r="BE1207" s="13"/>
      <c r="BF1207" s="13"/>
      <c r="BG1207" s="13"/>
      <c r="BH1207" s="13"/>
      <c r="BI1207" s="13"/>
      <c r="BJ1207" s="13"/>
      <c r="BK1207" s="13"/>
      <c r="BL1207" s="13"/>
      <c r="BM1207" s="13"/>
      <c r="BN1207" s="13"/>
      <c r="BO1207" s="13"/>
    </row>
    <row r="1208" spans="1:67" x14ac:dyDescent="0.55000000000000004">
      <c r="A1208" s="30">
        <v>736</v>
      </c>
      <c r="B1208" s="6" t="s">
        <v>614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/>
      <c r="AS1208" s="18"/>
      <c r="AT1208" s="18"/>
      <c r="AU1208" s="18"/>
      <c r="AV1208" s="18"/>
      <c r="AW1208" s="18"/>
      <c r="AX1208" s="18"/>
      <c r="AY1208" s="18"/>
      <c r="AZ1208" s="18"/>
      <c r="BA1208" s="18"/>
      <c r="BB1208" s="18"/>
      <c r="BC1208" s="18"/>
      <c r="BD1208" s="18"/>
      <c r="BE1208" s="18"/>
      <c r="BF1208" s="18"/>
      <c r="BG1208" s="18"/>
      <c r="BH1208" s="18"/>
      <c r="BI1208" s="18"/>
      <c r="BJ1208" s="18"/>
      <c r="BK1208" s="18"/>
      <c r="BL1208" s="18"/>
      <c r="BM1208" s="18"/>
      <c r="BN1208" s="18"/>
      <c r="BO1208" s="18"/>
    </row>
    <row r="1209" spans="1:67" x14ac:dyDescent="0.55000000000000004">
      <c r="A1209" s="31">
        <v>739</v>
      </c>
      <c r="B1209" s="5" t="s">
        <v>615</v>
      </c>
      <c r="C1209" s="13"/>
      <c r="D1209" s="13"/>
      <c r="E1209" s="13"/>
      <c r="F1209" s="13"/>
      <c r="G1209" s="13"/>
      <c r="H1209" s="28">
        <f>HYPERLINK("[P Only Old retention.xlsx]'Lake P Results'!AM305", 5900)</f>
        <v>5900</v>
      </c>
      <c r="I1209" s="28">
        <f>HYPERLINK("[P Only New retention.xlsx]'Lake P Results'!AM305", 5900)</f>
        <v>5900</v>
      </c>
      <c r="J1209" s="28">
        <f>HYPERLINK("[P Only with New retention and Differentiation.xlsx]'Lake P Results'!AM305", 5900)</f>
        <v>5900</v>
      </c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  <c r="AS1209" s="13"/>
      <c r="AT1209" s="13"/>
      <c r="AU1209" s="13"/>
      <c r="AV1209" s="13"/>
      <c r="AW1209" s="13"/>
      <c r="AX1209" s="13"/>
      <c r="AY1209" s="13"/>
      <c r="AZ1209" s="13"/>
      <c r="BA1209" s="13"/>
      <c r="BB1209" s="13"/>
      <c r="BC1209" s="13"/>
      <c r="BD1209" s="13"/>
      <c r="BE1209" s="13"/>
      <c r="BF1209" s="13"/>
      <c r="BG1209" s="13"/>
      <c r="BH1209" s="13"/>
      <c r="BI1209" s="13"/>
      <c r="BJ1209" s="13"/>
      <c r="BK1209" s="13"/>
      <c r="BL1209" s="13"/>
      <c r="BM1209" s="13"/>
      <c r="BN1209" s="13"/>
      <c r="BO1209" s="13"/>
    </row>
    <row r="1210" spans="1:67" x14ac:dyDescent="0.55000000000000004">
      <c r="A1210" s="30">
        <v>740</v>
      </c>
      <c r="B1210" s="6" t="s">
        <v>616</v>
      </c>
      <c r="C1210" s="18"/>
      <c r="D1210" s="18"/>
      <c r="E1210" s="18"/>
      <c r="F1210" s="18"/>
      <c r="G1210" s="18"/>
      <c r="H1210" s="26">
        <f>HYPERLINK("[P Only Old retention.xlsx]'Lake P Results'!AM306", 1000)</f>
        <v>1000</v>
      </c>
      <c r="I1210" s="26">
        <f>HYPERLINK("[P Only New retention.xlsx]'Lake P Results'!AM306", 1000)</f>
        <v>1000</v>
      </c>
      <c r="J1210" s="26">
        <f>HYPERLINK("[P Only with New retention and Differentiation.xlsx]'Lake P Results'!AM306", 1000)</f>
        <v>1000</v>
      </c>
      <c r="K1210" s="18"/>
      <c r="L1210" s="18"/>
      <c r="M1210" s="18"/>
      <c r="N1210" s="18"/>
      <c r="O1210" s="18"/>
      <c r="P1210" s="18"/>
      <c r="Q1210" s="18"/>
      <c r="R1210" s="27">
        <f>HYPERLINK("[P Only Old retention.xlsx]'Lake P Results'!Y306", 1.816)</f>
        <v>1.8160000000000001</v>
      </c>
      <c r="S1210" s="27">
        <f>HYPERLINK("[P Only New retention.xlsx]'Lake P Results'!Y306", 1.816)</f>
        <v>1.8160000000000001</v>
      </c>
      <c r="T1210" s="27">
        <f>HYPERLINK("[P Only with New retention and Differentiation.xlsx]'Lake P Results'!Y306", 1.816)</f>
        <v>1.8160000000000001</v>
      </c>
      <c r="U1210" s="18"/>
      <c r="V1210" s="18"/>
      <c r="W1210" s="27">
        <f>HYPERLINK("[P Only Old retention.xlsx]'Lake P Results'!V306", 4.99)</f>
        <v>4.99</v>
      </c>
      <c r="X1210" s="27">
        <f>HYPERLINK("[P Only New retention.xlsx]'Lake P Results'!V306", 4.99)</f>
        <v>4.99</v>
      </c>
      <c r="Y1210" s="27">
        <f>HYPERLINK("[P Only with New retention and Differentiation.xlsx]'Lake P Results'!V306", 4.99)</f>
        <v>4.99</v>
      </c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  <c r="AO1210" s="18"/>
      <c r="AP1210" s="18"/>
      <c r="AQ1210" s="26">
        <f>HYPERLINK("[P Only Old retention.xlsx]'Lake P Results'!AH306", 50)</f>
        <v>50</v>
      </c>
      <c r="AR1210" s="26">
        <f>HYPERLINK("[P Only New retention.xlsx]'Lake P Results'!AH306", 50)</f>
        <v>50</v>
      </c>
      <c r="AS1210" s="26">
        <f>HYPERLINK("[P Only with New retention and Differentiation.xlsx]'Lake P Results'!AH306", 50)</f>
        <v>50</v>
      </c>
      <c r="AT1210" s="18"/>
      <c r="AU1210" s="18"/>
      <c r="AV1210" s="18"/>
      <c r="AW1210" s="18"/>
      <c r="AX1210" s="18"/>
      <c r="AY1210" s="18"/>
      <c r="AZ1210" s="18"/>
      <c r="BA1210" s="27">
        <f>HYPERLINK("[P Only Old retention.xlsx]'Lake P Results'!O306", 99.926)</f>
        <v>99.926000000000002</v>
      </c>
      <c r="BB1210" s="27">
        <f>HYPERLINK("[P Only New retention.xlsx]'Lake P Results'!O306", 99.926)</f>
        <v>99.926000000000002</v>
      </c>
      <c r="BC1210" s="27">
        <f>HYPERLINK("[P Only with New retention and Differentiation.xlsx]'Lake P Results'!O306", 99.926)</f>
        <v>99.926000000000002</v>
      </c>
      <c r="BD1210" s="18"/>
      <c r="BE1210" s="18"/>
      <c r="BF1210" s="18"/>
      <c r="BG1210" s="18"/>
      <c r="BH1210" s="18"/>
      <c r="BI1210" s="18"/>
      <c r="BJ1210" s="18"/>
      <c r="BK1210" s="18"/>
      <c r="BL1210" s="18"/>
      <c r="BM1210" s="18"/>
      <c r="BN1210" s="18"/>
      <c r="BO1210" s="18"/>
    </row>
    <row r="1211" spans="1:67" x14ac:dyDescent="0.55000000000000004">
      <c r="A1211" s="31">
        <v>741</v>
      </c>
      <c r="B1211" s="5" t="s">
        <v>617</v>
      </c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  <c r="AS1211" s="13"/>
      <c r="AT1211" s="13"/>
      <c r="AU1211" s="13"/>
      <c r="AV1211" s="13"/>
      <c r="AW1211" s="13"/>
      <c r="AX1211" s="13"/>
      <c r="AY1211" s="13"/>
      <c r="AZ1211" s="13"/>
      <c r="BA1211" s="13"/>
      <c r="BB1211" s="13"/>
      <c r="BC1211" s="13"/>
      <c r="BD1211" s="13"/>
      <c r="BE1211" s="13"/>
      <c r="BF1211" s="13"/>
      <c r="BG1211" s="13"/>
      <c r="BH1211" s="13"/>
      <c r="BI1211" s="13"/>
      <c r="BJ1211" s="13"/>
      <c r="BK1211" s="13"/>
      <c r="BL1211" s="13"/>
      <c r="BM1211" s="13"/>
      <c r="BN1211" s="13"/>
      <c r="BO1211" s="13"/>
    </row>
    <row r="1212" spans="1:67" x14ac:dyDescent="0.55000000000000004">
      <c r="A1212" s="30">
        <v>742</v>
      </c>
      <c r="B1212" s="6" t="s">
        <v>618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  <c r="AO1212" s="18"/>
      <c r="AP1212" s="18"/>
      <c r="AQ1212" s="18"/>
      <c r="AR1212" s="18"/>
      <c r="AS1212" s="18"/>
      <c r="AT1212" s="18"/>
      <c r="AU1212" s="18"/>
      <c r="AV1212" s="18"/>
      <c r="AW1212" s="18"/>
      <c r="AX1212" s="18"/>
      <c r="AY1212" s="18"/>
      <c r="AZ1212" s="18"/>
      <c r="BA1212" s="18"/>
      <c r="BB1212" s="18"/>
      <c r="BC1212" s="18"/>
      <c r="BD1212" s="18"/>
      <c r="BE1212" s="18"/>
      <c r="BF1212" s="18"/>
      <c r="BG1212" s="18"/>
      <c r="BH1212" s="18"/>
      <c r="BI1212" s="18"/>
      <c r="BJ1212" s="18"/>
      <c r="BK1212" s="18"/>
      <c r="BL1212" s="18"/>
      <c r="BM1212" s="18"/>
      <c r="BN1212" s="18"/>
      <c r="BO1212" s="18"/>
    </row>
    <row r="1213" spans="1:67" x14ac:dyDescent="0.55000000000000004">
      <c r="A1213" s="31">
        <v>744</v>
      </c>
      <c r="B1213" s="5" t="s">
        <v>619</v>
      </c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  <c r="AS1213" s="13"/>
      <c r="AT1213" s="13"/>
      <c r="AU1213" s="13"/>
      <c r="AV1213" s="13"/>
      <c r="AW1213" s="13"/>
      <c r="AX1213" s="13"/>
      <c r="AY1213" s="13"/>
      <c r="AZ1213" s="13"/>
      <c r="BA1213" s="13"/>
      <c r="BB1213" s="13"/>
      <c r="BC1213" s="13"/>
      <c r="BD1213" s="13"/>
      <c r="BE1213" s="13"/>
      <c r="BF1213" s="13"/>
      <c r="BG1213" s="13"/>
      <c r="BH1213" s="13"/>
      <c r="BI1213" s="13"/>
      <c r="BJ1213" s="13"/>
      <c r="BK1213" s="13"/>
      <c r="BL1213" s="13"/>
      <c r="BM1213" s="13"/>
      <c r="BN1213" s="13"/>
      <c r="BO1213" s="13"/>
    </row>
    <row r="1214" spans="1:67" x14ac:dyDescent="0.55000000000000004">
      <c r="A1214" s="30">
        <v>745</v>
      </c>
      <c r="B1214" s="6" t="s">
        <v>620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  <c r="AO1214" s="18"/>
      <c r="AP1214" s="18"/>
      <c r="AQ1214" s="18"/>
      <c r="AR1214" s="18"/>
      <c r="AS1214" s="18"/>
      <c r="AT1214" s="18"/>
      <c r="AU1214" s="18"/>
      <c r="AV1214" s="18"/>
      <c r="AW1214" s="18"/>
      <c r="AX1214" s="18"/>
      <c r="AY1214" s="18"/>
      <c r="AZ1214" s="18"/>
      <c r="BA1214" s="18"/>
      <c r="BB1214" s="18"/>
      <c r="BC1214" s="18"/>
      <c r="BD1214" s="18"/>
      <c r="BE1214" s="18"/>
      <c r="BF1214" s="18"/>
      <c r="BG1214" s="18"/>
      <c r="BH1214" s="18"/>
      <c r="BI1214" s="18"/>
      <c r="BJ1214" s="18"/>
      <c r="BK1214" s="18"/>
      <c r="BL1214" s="18"/>
      <c r="BM1214" s="18"/>
      <c r="BN1214" s="18"/>
      <c r="BO1214" s="18"/>
    </row>
    <row r="1215" spans="1:67" x14ac:dyDescent="0.55000000000000004">
      <c r="A1215" s="31">
        <v>746</v>
      </c>
      <c r="B1215" s="5" t="s">
        <v>621</v>
      </c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  <c r="AS1215" s="13"/>
      <c r="AT1215" s="13"/>
      <c r="AU1215" s="13"/>
      <c r="AV1215" s="13"/>
      <c r="AW1215" s="13"/>
      <c r="AX1215" s="13"/>
      <c r="AY1215" s="13"/>
      <c r="AZ1215" s="13"/>
      <c r="BA1215" s="13"/>
      <c r="BB1215" s="13"/>
      <c r="BC1215" s="13"/>
      <c r="BD1215" s="13"/>
      <c r="BE1215" s="13"/>
      <c r="BF1215" s="13"/>
      <c r="BG1215" s="13"/>
      <c r="BH1215" s="13"/>
      <c r="BI1215" s="13"/>
      <c r="BJ1215" s="13"/>
      <c r="BK1215" s="13"/>
      <c r="BL1215" s="13"/>
      <c r="BM1215" s="13"/>
      <c r="BN1215" s="13"/>
      <c r="BO1215" s="13"/>
    </row>
    <row r="1216" spans="1:67" x14ac:dyDescent="0.55000000000000004">
      <c r="A1216" s="30">
        <v>748</v>
      </c>
      <c r="B1216" s="6" t="s">
        <v>622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  <c r="AO1216" s="18"/>
      <c r="AP1216" s="18"/>
      <c r="AQ1216" s="18"/>
      <c r="AR1216" s="18"/>
      <c r="AS1216" s="18"/>
      <c r="AT1216" s="18"/>
      <c r="AU1216" s="18"/>
      <c r="AV1216" s="18"/>
      <c r="AW1216" s="18"/>
      <c r="AX1216" s="18"/>
      <c r="AY1216" s="18"/>
      <c r="AZ1216" s="18"/>
      <c r="BA1216" s="18"/>
      <c r="BB1216" s="18"/>
      <c r="BC1216" s="18"/>
      <c r="BD1216" s="18"/>
      <c r="BE1216" s="18"/>
      <c r="BF1216" s="18"/>
      <c r="BG1216" s="18"/>
      <c r="BH1216" s="18"/>
      <c r="BI1216" s="18"/>
      <c r="BJ1216" s="18"/>
      <c r="BK1216" s="18"/>
      <c r="BL1216" s="18"/>
      <c r="BM1216" s="18"/>
      <c r="BN1216" s="18"/>
      <c r="BO1216" s="18"/>
    </row>
    <row r="1217" spans="1:67" x14ac:dyDescent="0.55000000000000004">
      <c r="A1217" s="31">
        <v>749</v>
      </c>
      <c r="B1217" s="5" t="s">
        <v>623</v>
      </c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  <c r="AS1217" s="13"/>
      <c r="AT1217" s="13"/>
      <c r="AU1217" s="13"/>
      <c r="AV1217" s="13"/>
      <c r="AW1217" s="13"/>
      <c r="AX1217" s="13"/>
      <c r="AY1217" s="13"/>
      <c r="AZ1217" s="13"/>
      <c r="BA1217" s="13"/>
      <c r="BB1217" s="13"/>
      <c r="BC1217" s="13"/>
      <c r="BD1217" s="13"/>
      <c r="BE1217" s="13"/>
      <c r="BF1217" s="13"/>
      <c r="BG1217" s="13"/>
      <c r="BH1217" s="13"/>
      <c r="BI1217" s="13"/>
      <c r="BJ1217" s="13"/>
      <c r="BK1217" s="13"/>
      <c r="BL1217" s="13"/>
      <c r="BM1217" s="13"/>
      <c r="BN1217" s="13"/>
      <c r="BO1217" s="13"/>
    </row>
    <row r="1218" spans="1:67" x14ac:dyDescent="0.55000000000000004">
      <c r="A1218" s="30">
        <v>751</v>
      </c>
      <c r="B1218" s="6" t="s">
        <v>624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  <c r="AV1218" s="18"/>
      <c r="AW1218" s="18"/>
      <c r="AX1218" s="18"/>
      <c r="AY1218" s="18"/>
      <c r="AZ1218" s="18"/>
      <c r="BA1218" s="18"/>
      <c r="BB1218" s="18"/>
      <c r="BC1218" s="18"/>
      <c r="BD1218" s="18"/>
      <c r="BE1218" s="18"/>
      <c r="BF1218" s="18"/>
      <c r="BG1218" s="18"/>
      <c r="BH1218" s="18"/>
      <c r="BI1218" s="18"/>
      <c r="BJ1218" s="18"/>
      <c r="BK1218" s="18"/>
      <c r="BL1218" s="18"/>
      <c r="BM1218" s="18"/>
      <c r="BN1218" s="18"/>
      <c r="BO1218" s="18"/>
    </row>
    <row r="1219" spans="1:67" x14ac:dyDescent="0.55000000000000004">
      <c r="A1219" s="31">
        <v>752</v>
      </c>
      <c r="B1219" s="5" t="s">
        <v>625</v>
      </c>
      <c r="C1219" s="29">
        <f>HYPERLINK("[P Only Old retention.xlsx]'Lake P Results'!AE315", 0.162)</f>
        <v>0.16200000000000001</v>
      </c>
      <c r="D1219" s="29">
        <f>HYPERLINK("[P Only New retention.xlsx]'Lake P Results'!AE315", 0.162)</f>
        <v>0.16200000000000001</v>
      </c>
      <c r="E1219" s="29">
        <f>HYPERLINK("[P Only with New retention and Differentiation.xlsx]'Lake P Results'!AE315", 0.162)</f>
        <v>0.16200000000000001</v>
      </c>
      <c r="F1219" s="13"/>
      <c r="G1219" s="13"/>
      <c r="H1219" s="28">
        <f>HYPERLINK("[P Only Old retention.xlsx]'Lake P Results'!AM315", 10900)</f>
        <v>10900</v>
      </c>
      <c r="I1219" s="28">
        <f>HYPERLINK("[P Only New retention.xlsx]'Lake P Results'!AM315", 10900)</f>
        <v>10900</v>
      </c>
      <c r="J1219" s="28">
        <f>HYPERLINK("[P Only with New retention and Differentiation.xlsx]'Lake P Results'!AM315", 10900)</f>
        <v>10900</v>
      </c>
      <c r="K1219" s="13"/>
      <c r="L1219" s="13"/>
      <c r="M1219" s="13"/>
      <c r="N1219" s="13"/>
      <c r="O1219" s="13"/>
      <c r="P1219" s="13"/>
      <c r="Q1219" s="13"/>
      <c r="R1219" s="29">
        <f>HYPERLINK("[P Only Old retention.xlsx]'Lake P Results'!Y315", 23.73)</f>
        <v>23.73</v>
      </c>
      <c r="S1219" s="29">
        <f>HYPERLINK("[P Only New retention.xlsx]'Lake P Results'!Y315", 23.73)</f>
        <v>23.73</v>
      </c>
      <c r="T1219" s="29">
        <f>HYPERLINK("[P Only with New retention and Differentiation.xlsx]'Lake P Results'!Y315", 23.73)</f>
        <v>23.73</v>
      </c>
      <c r="U1219" s="13"/>
      <c r="V1219" s="13"/>
      <c r="W1219" s="29">
        <f>HYPERLINK("[P Only Old retention.xlsx]'Lake P Results'!V315", 2.37)</f>
        <v>2.37</v>
      </c>
      <c r="X1219" s="29">
        <f>HYPERLINK("[P Only New retention.xlsx]'Lake P Results'!V315", 2.37)</f>
        <v>2.37</v>
      </c>
      <c r="Y1219" s="29">
        <f>HYPERLINK("[P Only with New retention and Differentiation.xlsx]'Lake P Results'!V315", 2.37)</f>
        <v>2.37</v>
      </c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  <c r="AQ1219" s="28">
        <f>HYPERLINK("[P Only Old retention.xlsx]'Lake P Results'!AH315", 279.999999999973)</f>
        <v>279.999999999973</v>
      </c>
      <c r="AR1219" s="28">
        <f>HYPERLINK("[P Only New retention.xlsx]'Lake P Results'!AH315", 279.999999999973)</f>
        <v>279.999999999973</v>
      </c>
      <c r="AS1219" s="28">
        <f>HYPERLINK("[P Only with New retention and Differentiation.xlsx]'Lake P Results'!AH315", 279.999999999973)</f>
        <v>279.999999999973</v>
      </c>
      <c r="AT1219" s="13"/>
      <c r="AU1219" s="13"/>
      <c r="AV1219" s="13"/>
      <c r="AW1219" s="13"/>
      <c r="AX1219" s="13"/>
      <c r="AY1219" s="13"/>
      <c r="AZ1219" s="13"/>
      <c r="BA1219" s="29">
        <f>HYPERLINK("[P Only Old retention.xlsx]'Lake P Results'!O315", 228.216)</f>
        <v>228.21600000000001</v>
      </c>
      <c r="BB1219" s="29">
        <f>HYPERLINK("[P Only New retention.xlsx]'Lake P Results'!O315", 228.216)</f>
        <v>228.21600000000001</v>
      </c>
      <c r="BC1219" s="29">
        <f>HYPERLINK("[P Only with New retention and Differentiation.xlsx]'Lake P Results'!O315", 228.216)</f>
        <v>228.21600000000001</v>
      </c>
      <c r="BD1219" s="13"/>
      <c r="BE1219" s="13"/>
      <c r="BF1219" s="13"/>
      <c r="BG1219" s="13"/>
      <c r="BH1219" s="13"/>
      <c r="BI1219" s="13"/>
      <c r="BJ1219" s="13"/>
      <c r="BK1219" s="13"/>
      <c r="BL1219" s="13"/>
      <c r="BM1219" s="13"/>
      <c r="BN1219" s="13"/>
      <c r="BO1219" s="13"/>
    </row>
    <row r="1220" spans="1:67" x14ac:dyDescent="0.55000000000000004">
      <c r="A1220" s="30">
        <v>754</v>
      </c>
      <c r="B1220" s="6" t="s">
        <v>626</v>
      </c>
      <c r="C1220" s="18"/>
      <c r="D1220" s="18"/>
      <c r="E1220" s="18"/>
      <c r="F1220" s="18"/>
      <c r="G1220" s="18"/>
      <c r="H1220" s="26">
        <f>HYPERLINK("[P Only Old retention.xlsx]'Lake P Results'!AM316", 12300)</f>
        <v>12300</v>
      </c>
      <c r="I1220" s="26">
        <f>HYPERLINK("[P Only New retention.xlsx]'Lake P Results'!AM316", 12300)</f>
        <v>12300</v>
      </c>
      <c r="J1220" s="26">
        <f>HYPERLINK("[P Only with New retention and Differentiation.xlsx]'Lake P Results'!AM316", 12300)</f>
        <v>12300</v>
      </c>
      <c r="K1220" s="18"/>
      <c r="L1220" s="18"/>
      <c r="M1220" s="18"/>
      <c r="N1220" s="18"/>
      <c r="O1220" s="18"/>
      <c r="P1220" s="18"/>
      <c r="Q1220" s="18"/>
      <c r="R1220" s="27">
        <f>HYPERLINK("[P Only Old retention.xlsx]'Lake P Results'!Y316", 19.486)</f>
        <v>19.486000000000001</v>
      </c>
      <c r="S1220" s="27">
        <f>HYPERLINK("[P Only New retention.xlsx]'Lake P Results'!Y316", 19.486)</f>
        <v>19.486000000000001</v>
      </c>
      <c r="T1220" s="27">
        <f>HYPERLINK("[P Only with New retention and Differentiation.xlsx]'Lake P Results'!Y316", 19.486)</f>
        <v>19.486000000000001</v>
      </c>
      <c r="U1220" s="18"/>
      <c r="V1220" s="18"/>
      <c r="W1220" s="27">
        <f>HYPERLINK("[P Only Old retention.xlsx]'Lake P Results'!V316", 5.89)</f>
        <v>5.89</v>
      </c>
      <c r="X1220" s="27">
        <f>HYPERLINK("[P Only New retention.xlsx]'Lake P Results'!V316", 5.89)</f>
        <v>5.89</v>
      </c>
      <c r="Y1220" s="27">
        <f>HYPERLINK("[P Only with New retention and Differentiation.xlsx]'Lake P Results'!V316", 5.89)</f>
        <v>5.89</v>
      </c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  <c r="AO1220" s="18"/>
      <c r="AP1220" s="18"/>
      <c r="AQ1220" s="26">
        <f>HYPERLINK("[P Only Old retention.xlsx]'Lake P Results'!AH316", 150)</f>
        <v>150</v>
      </c>
      <c r="AR1220" s="26">
        <f>HYPERLINK("[P Only New retention.xlsx]'Lake P Results'!AH316", 150)</f>
        <v>150</v>
      </c>
      <c r="AS1220" s="26">
        <f>HYPERLINK("[P Only with New retention and Differentiation.xlsx]'Lake P Results'!AH316", 150)</f>
        <v>150</v>
      </c>
      <c r="AT1220" s="18"/>
      <c r="AU1220" s="18"/>
      <c r="AV1220" s="18"/>
      <c r="AW1220" s="18"/>
      <c r="AX1220" s="18"/>
      <c r="AY1220" s="18"/>
      <c r="AZ1220" s="18"/>
      <c r="BA1220" s="27">
        <f>HYPERLINK("[P Only Old retention.xlsx]'Lake P Results'!O316", 82.91)</f>
        <v>82.91</v>
      </c>
      <c r="BB1220" s="27">
        <f>HYPERLINK("[P Only New retention.xlsx]'Lake P Results'!O316", 82.91)</f>
        <v>82.91</v>
      </c>
      <c r="BC1220" s="27">
        <f>HYPERLINK("[P Only with New retention and Differentiation.xlsx]'Lake P Results'!O316", 82.91)</f>
        <v>82.91</v>
      </c>
      <c r="BD1220" s="18"/>
      <c r="BE1220" s="18"/>
      <c r="BF1220" s="18"/>
      <c r="BG1220" s="18"/>
      <c r="BH1220" s="18"/>
      <c r="BI1220" s="18"/>
      <c r="BJ1220" s="18"/>
      <c r="BK1220" s="18"/>
      <c r="BL1220" s="18"/>
      <c r="BM1220" s="18"/>
      <c r="BN1220" s="18"/>
      <c r="BO1220" s="18"/>
    </row>
    <row r="1221" spans="1:67" x14ac:dyDescent="0.55000000000000004">
      <c r="A1221" s="31">
        <v>756</v>
      </c>
      <c r="B1221" s="5" t="s">
        <v>627</v>
      </c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  <c r="AS1221" s="13"/>
      <c r="AT1221" s="13"/>
      <c r="AU1221" s="13"/>
      <c r="AV1221" s="13"/>
      <c r="AW1221" s="13"/>
      <c r="AX1221" s="13"/>
      <c r="AY1221" s="13"/>
      <c r="AZ1221" s="13"/>
      <c r="BA1221" s="13"/>
      <c r="BB1221" s="13"/>
      <c r="BC1221" s="13"/>
      <c r="BD1221" s="13"/>
      <c r="BE1221" s="13"/>
      <c r="BF1221" s="13"/>
      <c r="BG1221" s="13"/>
      <c r="BH1221" s="13"/>
      <c r="BI1221" s="13"/>
      <c r="BJ1221" s="13"/>
      <c r="BK1221" s="13"/>
      <c r="BL1221" s="13"/>
      <c r="BM1221" s="13"/>
      <c r="BN1221" s="13"/>
      <c r="BO1221" s="13"/>
    </row>
    <row r="1222" spans="1:67" x14ac:dyDescent="0.55000000000000004">
      <c r="A1222" s="30">
        <v>757</v>
      </c>
      <c r="B1222" s="6" t="s">
        <v>628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  <c r="AV1222" s="18"/>
      <c r="AW1222" s="18"/>
      <c r="AX1222" s="18"/>
      <c r="AY1222" s="18"/>
      <c r="AZ1222" s="18"/>
      <c r="BA1222" s="18"/>
      <c r="BB1222" s="18"/>
      <c r="BC1222" s="18"/>
      <c r="BD1222" s="18"/>
      <c r="BE1222" s="18"/>
      <c r="BF1222" s="18"/>
      <c r="BG1222" s="18"/>
      <c r="BH1222" s="18"/>
      <c r="BI1222" s="18"/>
      <c r="BJ1222" s="18"/>
      <c r="BK1222" s="18"/>
      <c r="BL1222" s="18"/>
      <c r="BM1222" s="18"/>
      <c r="BN1222" s="18"/>
      <c r="BO1222" s="18"/>
    </row>
    <row r="1223" spans="1:67" x14ac:dyDescent="0.55000000000000004">
      <c r="A1223" s="31">
        <v>758</v>
      </c>
      <c r="B1223" s="5" t="s">
        <v>629</v>
      </c>
      <c r="C1223" s="29">
        <f>HYPERLINK("[P Only Old retention.xlsx]'Lake P Results'!AE319", 1.25)</f>
        <v>1.25</v>
      </c>
      <c r="D1223" s="29">
        <f>HYPERLINK("[P Only New retention.xlsx]'Lake P Results'!AE319", 1.25)</f>
        <v>1.25</v>
      </c>
      <c r="E1223" s="29">
        <f>HYPERLINK("[P Only with New retention and Differentiation.xlsx]'Lake P Results'!AE319", 1.25)</f>
        <v>1.25</v>
      </c>
      <c r="F1223" s="13"/>
      <c r="G1223" s="13"/>
      <c r="H1223" s="28">
        <f>HYPERLINK("[P Only Old retention.xlsx]'Lake P Results'!AM319", 4900)</f>
        <v>4900</v>
      </c>
      <c r="I1223" s="28">
        <f>HYPERLINK("[P Only New retention.xlsx]'Lake P Results'!AM319", 4800)</f>
        <v>4800</v>
      </c>
      <c r="J1223" s="28">
        <f>HYPERLINK("[P Only with New retention and Differentiation.xlsx]'Lake P Results'!AM319", 4800)</f>
        <v>4800</v>
      </c>
      <c r="K1223" s="21">
        <f>I1223-H1223</f>
        <v>-100</v>
      </c>
      <c r="L1223" s="21">
        <f>J1223-H1223</f>
        <v>-100</v>
      </c>
      <c r="M1223" s="29">
        <f>HYPERLINK("[P Only Old retention.xlsx]'Lake P Results'!AC319", 0.2)</f>
        <v>0.2</v>
      </c>
      <c r="N1223" s="29">
        <f>HYPERLINK("[P Only New retention.xlsx]'Lake P Results'!AC319", 0.166)</f>
        <v>0.16600000000000001</v>
      </c>
      <c r="O1223" s="29">
        <f>HYPERLINK("[P Only with New retention and Differentiation.xlsx]'Lake P Results'!AC319", 0.366)</f>
        <v>0.36599999999999999</v>
      </c>
      <c r="P1223" s="47">
        <f>N1223-M1223</f>
        <v>-3.4000000000000002E-2</v>
      </c>
      <c r="Q1223" s="46">
        <f>O1223-M1223</f>
        <v>0.16599999999999998</v>
      </c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29">
        <f>HYPERLINK("[P Only New retention.xlsx]'Lake P Results'!Z319", 0.2)</f>
        <v>0.2</v>
      </c>
      <c r="AD1223" s="13"/>
      <c r="AE1223" s="46">
        <f>AC1223-AB1223</f>
        <v>0.2</v>
      </c>
      <c r="AF1223" s="13"/>
      <c r="AG1223" s="29">
        <f>HYPERLINK("[P Only Old retention.xlsx]'Lake P Results'!AA319", 11.76)</f>
        <v>11.76</v>
      </c>
      <c r="AH1223" s="29">
        <f>HYPERLINK("[P Only New retention.xlsx]'Lake P Results'!AA319", 11.76)</f>
        <v>11.76</v>
      </c>
      <c r="AI1223" s="29">
        <f>HYPERLINK("[P Only with New retention and Differentiation.xlsx]'Lake P Results'!AA319", 11.76)</f>
        <v>11.76</v>
      </c>
      <c r="AJ1223" s="13"/>
      <c r="AK1223" s="13"/>
      <c r="AL1223" s="13"/>
      <c r="AM1223" s="13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  <c r="AZ1223" s="13"/>
      <c r="BA1223" s="13"/>
      <c r="BB1223" s="13"/>
      <c r="BC1223" s="13"/>
      <c r="BD1223" s="13"/>
      <c r="BE1223" s="13"/>
      <c r="BF1223" s="13"/>
      <c r="BG1223" s="13"/>
      <c r="BH1223" s="13"/>
      <c r="BI1223" s="13"/>
      <c r="BJ1223" s="13"/>
      <c r="BK1223" s="13"/>
      <c r="BL1223" s="13"/>
      <c r="BM1223" s="13"/>
      <c r="BN1223" s="13"/>
      <c r="BO1223" s="13"/>
    </row>
    <row r="1224" spans="1:67" x14ac:dyDescent="0.55000000000000004">
      <c r="A1224" s="30">
        <v>762</v>
      </c>
      <c r="B1224" s="6" t="s">
        <v>630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  <c r="AO1224" s="18"/>
      <c r="AP1224" s="18"/>
      <c r="AQ1224" s="18"/>
      <c r="AR1224" s="18"/>
      <c r="AS1224" s="18"/>
      <c r="AT1224" s="18"/>
      <c r="AU1224" s="18"/>
      <c r="AV1224" s="18"/>
      <c r="AW1224" s="18"/>
      <c r="AX1224" s="18"/>
      <c r="AY1224" s="18"/>
      <c r="AZ1224" s="18"/>
      <c r="BA1224" s="18"/>
      <c r="BB1224" s="18"/>
      <c r="BC1224" s="18"/>
      <c r="BD1224" s="18"/>
      <c r="BE1224" s="18"/>
      <c r="BF1224" s="18"/>
      <c r="BG1224" s="18"/>
      <c r="BH1224" s="18"/>
      <c r="BI1224" s="18"/>
      <c r="BJ1224" s="18"/>
      <c r="BK1224" s="18"/>
      <c r="BL1224" s="18"/>
      <c r="BM1224" s="18"/>
      <c r="BN1224" s="18"/>
      <c r="BO1224" s="18"/>
    </row>
    <row r="1225" spans="1:67" x14ac:dyDescent="0.55000000000000004">
      <c r="A1225" s="31">
        <v>763</v>
      </c>
      <c r="B1225" s="5" t="s">
        <v>631</v>
      </c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  <c r="AZ1225" s="13"/>
      <c r="BA1225" s="13"/>
      <c r="BB1225" s="13"/>
      <c r="BC1225" s="13"/>
      <c r="BD1225" s="13"/>
      <c r="BE1225" s="13"/>
      <c r="BF1225" s="13"/>
      <c r="BG1225" s="13"/>
      <c r="BH1225" s="13"/>
      <c r="BI1225" s="13"/>
      <c r="BJ1225" s="13"/>
      <c r="BK1225" s="13"/>
      <c r="BL1225" s="13"/>
      <c r="BM1225" s="13"/>
      <c r="BN1225" s="13"/>
      <c r="BO1225" s="13"/>
    </row>
    <row r="1226" spans="1:67" x14ac:dyDescent="0.55000000000000004">
      <c r="A1226" s="30">
        <v>765</v>
      </c>
      <c r="B1226" s="6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  <c r="AO1226" s="18"/>
      <c r="AP1226" s="18"/>
      <c r="AQ1226" s="18"/>
      <c r="AR1226" s="18"/>
      <c r="AS1226" s="18"/>
      <c r="AT1226" s="18"/>
      <c r="AU1226" s="18"/>
      <c r="AV1226" s="18"/>
      <c r="AW1226" s="18"/>
      <c r="AX1226" s="18"/>
      <c r="AY1226" s="18"/>
      <c r="AZ1226" s="18"/>
      <c r="BA1226" s="18"/>
      <c r="BB1226" s="18"/>
      <c r="BC1226" s="18"/>
      <c r="BD1226" s="18"/>
      <c r="BE1226" s="18"/>
      <c r="BF1226" s="18"/>
      <c r="BG1226" s="18"/>
      <c r="BH1226" s="18"/>
      <c r="BI1226" s="18"/>
      <c r="BJ1226" s="18"/>
      <c r="BK1226" s="18"/>
      <c r="BL1226" s="18"/>
      <c r="BM1226" s="18"/>
      <c r="BN1226" s="18"/>
      <c r="BO1226" s="18"/>
    </row>
    <row r="1227" spans="1:67" x14ac:dyDescent="0.55000000000000004">
      <c r="A1227" s="31">
        <v>766</v>
      </c>
      <c r="B1227" s="5" t="s">
        <v>632</v>
      </c>
      <c r="C1227" s="13"/>
      <c r="D1227" s="13"/>
      <c r="E1227" s="13"/>
      <c r="F1227" s="13"/>
      <c r="G1227" s="13"/>
      <c r="H1227" s="28">
        <f>HYPERLINK("[P Only Old retention.xlsx]'Lake P Results'!AM323", 5100)</f>
        <v>5100</v>
      </c>
      <c r="I1227" s="28">
        <f>HYPERLINK("[P Only New retention.xlsx]'Lake P Results'!AM323", 5100)</f>
        <v>5100</v>
      </c>
      <c r="J1227" s="28">
        <f>HYPERLINK("[P Only with New retention and Differentiation.xlsx]'Lake P Results'!AM323", 5100)</f>
        <v>5100</v>
      </c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  <c r="AQ1227" s="28">
        <f>HYPERLINK("[P Only Old retention.xlsx]'Lake P Results'!AH323", 20)</f>
        <v>20</v>
      </c>
      <c r="AR1227" s="28">
        <f>HYPERLINK("[P Only New retention.xlsx]'Lake P Results'!AH323", 20)</f>
        <v>20</v>
      </c>
      <c r="AS1227" s="28">
        <f>HYPERLINK("[P Only with New retention and Differentiation.xlsx]'Lake P Results'!AH323", 20)</f>
        <v>20</v>
      </c>
      <c r="AT1227" s="13"/>
      <c r="AU1227" s="13"/>
      <c r="AV1227" s="13"/>
      <c r="AW1227" s="13"/>
      <c r="AX1227" s="13"/>
      <c r="AY1227" s="13"/>
      <c r="AZ1227" s="13"/>
      <c r="BA1227" s="29">
        <f>HYPERLINK("[P Only Old retention.xlsx]'Lake P Results'!O323", 18.63)</f>
        <v>18.63</v>
      </c>
      <c r="BB1227" s="29">
        <f>HYPERLINK("[P Only New retention.xlsx]'Lake P Results'!O323", 18.63)</f>
        <v>18.63</v>
      </c>
      <c r="BC1227" s="29">
        <f>HYPERLINK("[P Only with New retention and Differentiation.xlsx]'Lake P Results'!O323", 18.63)</f>
        <v>18.63</v>
      </c>
      <c r="BD1227" s="13"/>
      <c r="BE1227" s="13"/>
      <c r="BF1227" s="13"/>
      <c r="BG1227" s="13"/>
      <c r="BH1227" s="13"/>
      <c r="BI1227" s="13"/>
      <c r="BJ1227" s="13"/>
      <c r="BK1227" s="13"/>
      <c r="BL1227" s="13"/>
      <c r="BM1227" s="13"/>
      <c r="BN1227" s="13"/>
      <c r="BO1227" s="13"/>
    </row>
    <row r="1228" spans="1:67" x14ac:dyDescent="0.55000000000000004">
      <c r="A1228" s="30">
        <v>777</v>
      </c>
      <c r="B1228" s="6" t="s">
        <v>633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  <c r="AO1228" s="18"/>
      <c r="AP1228" s="18"/>
      <c r="AQ1228" s="18"/>
      <c r="AR1228" s="18"/>
      <c r="AS1228" s="18"/>
      <c r="AT1228" s="18"/>
      <c r="AU1228" s="18"/>
      <c r="AV1228" s="18"/>
      <c r="AW1228" s="18"/>
      <c r="AX1228" s="18"/>
      <c r="AY1228" s="18"/>
      <c r="AZ1228" s="18"/>
      <c r="BA1228" s="18"/>
      <c r="BB1228" s="18"/>
      <c r="BC1228" s="18"/>
      <c r="BD1228" s="18"/>
      <c r="BE1228" s="18"/>
      <c r="BF1228" s="18"/>
      <c r="BG1228" s="18"/>
      <c r="BH1228" s="18"/>
      <c r="BI1228" s="18"/>
      <c r="BJ1228" s="18"/>
      <c r="BK1228" s="18"/>
      <c r="BL1228" s="18"/>
      <c r="BM1228" s="18"/>
      <c r="BN1228" s="18"/>
      <c r="BO1228" s="18"/>
    </row>
    <row r="1229" spans="1:67" x14ac:dyDescent="0.55000000000000004">
      <c r="A1229" s="31">
        <v>779</v>
      </c>
      <c r="B1229" s="5" t="s">
        <v>634</v>
      </c>
      <c r="C1229" s="29">
        <f>HYPERLINK("[P Only Old retention.xlsx]'Lake P Results'!AE325", 0.018)</f>
        <v>1.7999999999999999E-2</v>
      </c>
      <c r="D1229" s="29">
        <f>HYPERLINK("[P Only New retention.xlsx]'Lake P Results'!AE325", 0.018)</f>
        <v>1.7999999999999999E-2</v>
      </c>
      <c r="E1229" s="29">
        <f>HYPERLINK("[P Only with New retention and Differentiation.xlsx]'Lake P Results'!AE325", 0.018)</f>
        <v>1.7999999999999999E-2</v>
      </c>
      <c r="F1229" s="13"/>
      <c r="G1229" s="13"/>
      <c r="H1229" s="28">
        <f>HYPERLINK("[P Only Old retention.xlsx]'Lake P Results'!AM325", 4100)</f>
        <v>4100</v>
      </c>
      <c r="I1229" s="28">
        <f>HYPERLINK("[P Only New retention.xlsx]'Lake P Results'!AM325", 4100)</f>
        <v>4100</v>
      </c>
      <c r="J1229" s="28">
        <f>HYPERLINK("[P Only with New retention and Differentiation.xlsx]'Lake P Results'!AM325", 4100)</f>
        <v>4100</v>
      </c>
      <c r="K1229" s="13"/>
      <c r="L1229" s="13"/>
      <c r="M1229" s="13"/>
      <c r="N1229" s="13"/>
      <c r="O1229" s="29">
        <f>HYPERLINK("[P Only with New retention and Differentiation.xlsx]'Lake P Results'!AC325", 0.968)</f>
        <v>0.96799999999999997</v>
      </c>
      <c r="P1229" s="13"/>
      <c r="Q1229" s="46">
        <f>O1229-M1229</f>
        <v>0.96799999999999997</v>
      </c>
      <c r="R1229" s="29">
        <f>HYPERLINK("[P Only Old retention.xlsx]'Lake P Results'!Y325", 6.284)</f>
        <v>6.2839999999999998</v>
      </c>
      <c r="S1229" s="29">
        <f>HYPERLINK("[P Only New retention.xlsx]'Lake P Results'!Y325", 1.91)</f>
        <v>1.91</v>
      </c>
      <c r="T1229" s="29">
        <f>HYPERLINK("[P Only with New retention and Differentiation.xlsx]'Lake P Results'!Y325", 4.78)</f>
        <v>4.78</v>
      </c>
      <c r="U1229" s="47">
        <f>S1229-R1229</f>
        <v>-4.3739999999999997</v>
      </c>
      <c r="V1229" s="47">
        <f>T1229-R1229</f>
        <v>-1.5039999999999996</v>
      </c>
      <c r="W1229" s="29">
        <f>HYPERLINK("[P Only Old retention.xlsx]'Lake P Results'!V325", 1.95)</f>
        <v>1.95</v>
      </c>
      <c r="X1229" s="29">
        <f>HYPERLINK("[P Only New retention.xlsx]'Lake P Results'!V325", 1.95)</f>
        <v>1.95</v>
      </c>
      <c r="Y1229" s="29">
        <f>HYPERLINK("[P Only with New retention and Differentiation.xlsx]'Lake P Results'!V325", 1.95)</f>
        <v>1.95</v>
      </c>
      <c r="Z1229" s="13"/>
      <c r="AA1229" s="13"/>
      <c r="AB1229" s="13"/>
      <c r="AC1229" s="29">
        <f>HYPERLINK("[P Only New retention.xlsx]'Lake P Results'!Z325", 4.374)</f>
        <v>4.3739999999999997</v>
      </c>
      <c r="AD1229" s="29">
        <f>HYPERLINK("[P Only with New retention and Differentiation.xlsx]'Lake P Results'!Z325", 0.536)</f>
        <v>0.53600000000000003</v>
      </c>
      <c r="AE1229" s="46">
        <f>AC1229-AB1229</f>
        <v>4.3739999999999997</v>
      </c>
      <c r="AF1229" s="46">
        <f>AD1229-AB1229</f>
        <v>0.53600000000000003</v>
      </c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  <c r="AQ1229" s="28">
        <f>HYPERLINK("[P Only Old retention.xlsx]'Lake P Results'!AH325", 110)</f>
        <v>110</v>
      </c>
      <c r="AR1229" s="28">
        <f>HYPERLINK("[P Only New retention.xlsx]'Lake P Results'!AH325", 110)</f>
        <v>110</v>
      </c>
      <c r="AS1229" s="28">
        <f>HYPERLINK("[P Only with New retention and Differentiation.xlsx]'Lake P Results'!AH325", 110)</f>
        <v>110</v>
      </c>
      <c r="AT1229" s="13"/>
      <c r="AU1229" s="13"/>
      <c r="AV1229" s="13"/>
      <c r="AW1229" s="13"/>
      <c r="AX1229" s="13"/>
      <c r="AY1229" s="13"/>
      <c r="AZ1229" s="13"/>
      <c r="BA1229" s="29">
        <f>HYPERLINK("[P Only Old retention.xlsx]'Lake P Results'!O325", 76.214)</f>
        <v>76.213999999999999</v>
      </c>
      <c r="BB1229" s="29">
        <f>HYPERLINK("[P Only New retention.xlsx]'Lake P Results'!O325", 76.214)</f>
        <v>76.213999999999999</v>
      </c>
      <c r="BC1229" s="29">
        <f>HYPERLINK("[P Only with New retention and Differentiation.xlsx]'Lake P Results'!O325", 76.214)</f>
        <v>76.213999999999999</v>
      </c>
      <c r="BD1229" s="13"/>
      <c r="BE1229" s="13"/>
      <c r="BF1229" s="13"/>
      <c r="BG1229" s="13"/>
      <c r="BH1229" s="13"/>
      <c r="BI1229" s="13"/>
      <c r="BJ1229" s="13"/>
      <c r="BK1229" s="13"/>
      <c r="BL1229" s="13"/>
      <c r="BM1229" s="13"/>
      <c r="BN1229" s="13"/>
      <c r="BO1229" s="13"/>
    </row>
    <row r="1230" spans="1:67" x14ac:dyDescent="0.55000000000000004">
      <c r="A1230" s="30">
        <v>782</v>
      </c>
      <c r="B1230" s="6" t="s">
        <v>635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  <c r="AO1230" s="18"/>
      <c r="AP1230" s="18"/>
      <c r="AQ1230" s="18"/>
      <c r="AR1230" s="18"/>
      <c r="AS1230" s="18"/>
      <c r="AT1230" s="18"/>
      <c r="AU1230" s="18"/>
      <c r="AV1230" s="18"/>
      <c r="AW1230" s="18"/>
      <c r="AX1230" s="18"/>
      <c r="AY1230" s="18"/>
      <c r="AZ1230" s="18"/>
      <c r="BA1230" s="18"/>
      <c r="BB1230" s="18"/>
      <c r="BC1230" s="18"/>
      <c r="BD1230" s="18"/>
      <c r="BE1230" s="18"/>
      <c r="BF1230" s="18"/>
      <c r="BG1230" s="18"/>
      <c r="BH1230" s="18"/>
      <c r="BI1230" s="18"/>
      <c r="BJ1230" s="18"/>
      <c r="BK1230" s="18"/>
      <c r="BL1230" s="18"/>
      <c r="BM1230" s="18"/>
      <c r="BN1230" s="18"/>
      <c r="BO1230" s="18"/>
    </row>
    <row r="1231" spans="1:67" x14ac:dyDescent="0.55000000000000004">
      <c r="A1231" s="31">
        <v>783</v>
      </c>
      <c r="B1231" s="5" t="s">
        <v>636</v>
      </c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  <c r="AZ1231" s="13"/>
      <c r="BA1231" s="13"/>
      <c r="BB1231" s="13"/>
      <c r="BC1231" s="13"/>
      <c r="BD1231" s="13"/>
      <c r="BE1231" s="13"/>
      <c r="BF1231" s="13"/>
      <c r="BG1231" s="13"/>
      <c r="BH1231" s="13"/>
      <c r="BI1231" s="13"/>
      <c r="BJ1231" s="13"/>
      <c r="BK1231" s="13"/>
      <c r="BL1231" s="13"/>
      <c r="BM1231" s="13"/>
      <c r="BN1231" s="13"/>
      <c r="BO1231" s="13"/>
    </row>
    <row r="1232" spans="1:67" x14ac:dyDescent="0.55000000000000004">
      <c r="A1232" s="30">
        <v>786</v>
      </c>
      <c r="B1232" s="6" t="s">
        <v>637</v>
      </c>
      <c r="C1232" s="18"/>
      <c r="D1232" s="18"/>
      <c r="E1232" s="18"/>
      <c r="F1232" s="18"/>
      <c r="G1232" s="18"/>
      <c r="H1232" s="26">
        <f>HYPERLINK("[P Only Old retention.xlsx]'Lake P Results'!AM328", 2000)</f>
        <v>2000</v>
      </c>
      <c r="I1232" s="26">
        <f>HYPERLINK("[P Only New retention.xlsx]'Lake P Results'!AM328", 2000)</f>
        <v>2000</v>
      </c>
      <c r="J1232" s="26">
        <f>HYPERLINK("[P Only with New retention and Differentiation.xlsx]'Lake P Results'!AM328", 2000)</f>
        <v>2000</v>
      </c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  <c r="AV1232" s="18"/>
      <c r="AW1232" s="18"/>
      <c r="AX1232" s="18"/>
      <c r="AY1232" s="18"/>
      <c r="AZ1232" s="18"/>
      <c r="BA1232" s="27">
        <f>HYPERLINK("[P Only Old retention.xlsx]'Lake P Results'!O328", 0.06)</f>
        <v>0.06</v>
      </c>
      <c r="BB1232" s="27">
        <f>HYPERLINK("[P Only New retention.xlsx]'Lake P Results'!O328", 0.06)</f>
        <v>0.06</v>
      </c>
      <c r="BC1232" s="27">
        <f>HYPERLINK("[P Only with New retention and Differentiation.xlsx]'Lake P Results'!O328", 0.06)</f>
        <v>0.06</v>
      </c>
      <c r="BD1232" s="18"/>
      <c r="BE1232" s="18"/>
      <c r="BF1232" s="18"/>
      <c r="BG1232" s="18"/>
      <c r="BH1232" s="18"/>
      <c r="BI1232" s="18"/>
      <c r="BJ1232" s="18"/>
      <c r="BK1232" s="18"/>
      <c r="BL1232" s="18"/>
      <c r="BM1232" s="18"/>
      <c r="BN1232" s="18"/>
      <c r="BO1232" s="18"/>
    </row>
    <row r="1233" spans="1:67" x14ac:dyDescent="0.55000000000000004">
      <c r="A1233" s="31">
        <v>788</v>
      </c>
      <c r="B1233" s="5" t="s">
        <v>638</v>
      </c>
      <c r="C1233" s="13"/>
      <c r="D1233" s="13"/>
      <c r="E1233" s="13"/>
      <c r="F1233" s="13"/>
      <c r="G1233" s="13"/>
      <c r="H1233" s="28">
        <f>HYPERLINK("[P Only Old retention.xlsx]'Lake P Results'!AM329", 3300)</f>
        <v>3300</v>
      </c>
      <c r="I1233" s="28">
        <f>HYPERLINK("[P Only New retention.xlsx]'Lake P Results'!AM329", 3300)</f>
        <v>3300</v>
      </c>
      <c r="J1233" s="28">
        <f>HYPERLINK("[P Only with New retention and Differentiation.xlsx]'Lake P Results'!AM329", 3300)</f>
        <v>3300</v>
      </c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  <c r="AZ1233" s="13"/>
      <c r="BA1233" s="13"/>
      <c r="BB1233" s="13"/>
      <c r="BC1233" s="13"/>
      <c r="BD1233" s="13"/>
      <c r="BE1233" s="13"/>
      <c r="BF1233" s="13"/>
      <c r="BG1233" s="13"/>
      <c r="BH1233" s="13"/>
      <c r="BI1233" s="13"/>
      <c r="BJ1233" s="13"/>
      <c r="BK1233" s="13"/>
      <c r="BL1233" s="13"/>
      <c r="BM1233" s="13"/>
      <c r="BN1233" s="13"/>
      <c r="BO1233" s="13"/>
    </row>
    <row r="1234" spans="1:67" x14ac:dyDescent="0.55000000000000004">
      <c r="A1234" s="30">
        <v>789</v>
      </c>
      <c r="B1234" s="6" t="s">
        <v>639</v>
      </c>
      <c r="C1234" s="18"/>
      <c r="D1234" s="18"/>
      <c r="E1234" s="18"/>
      <c r="F1234" s="18"/>
      <c r="G1234" s="18"/>
      <c r="H1234" s="26">
        <f>HYPERLINK("[P Only Old retention.xlsx]'Lake P Results'!AM330", 500)</f>
        <v>500</v>
      </c>
      <c r="I1234" s="26">
        <f>HYPERLINK("[P Only New retention.xlsx]'Lake P Results'!AM330", 500)</f>
        <v>500</v>
      </c>
      <c r="J1234" s="26">
        <f>HYPERLINK("[P Only with New retention and Differentiation.xlsx]'Lake P Results'!AM330", 500)</f>
        <v>500</v>
      </c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  <c r="AV1234" s="18"/>
      <c r="AW1234" s="18"/>
      <c r="AX1234" s="18"/>
      <c r="AY1234" s="18"/>
      <c r="AZ1234" s="18"/>
      <c r="BA1234" s="18"/>
      <c r="BB1234" s="18"/>
      <c r="BC1234" s="18"/>
      <c r="BD1234" s="18"/>
      <c r="BE1234" s="18"/>
      <c r="BF1234" s="18"/>
      <c r="BG1234" s="18"/>
      <c r="BH1234" s="18"/>
      <c r="BI1234" s="18"/>
      <c r="BJ1234" s="18"/>
      <c r="BK1234" s="18"/>
      <c r="BL1234" s="18"/>
      <c r="BM1234" s="18"/>
      <c r="BN1234" s="18"/>
      <c r="BO1234" s="18"/>
    </row>
    <row r="1235" spans="1:67" x14ac:dyDescent="0.55000000000000004">
      <c r="A1235" s="31">
        <v>793</v>
      </c>
      <c r="B1235" s="5" t="s">
        <v>640</v>
      </c>
      <c r="C1235" s="29">
        <f>HYPERLINK("[P Only Old retention.xlsx]'Lake P Results'!AE331", 0.56)</f>
        <v>0.56000000000000005</v>
      </c>
      <c r="D1235" s="29">
        <f>HYPERLINK("[P Only New retention.xlsx]'Lake P Results'!AE331", 0.56)</f>
        <v>0.56000000000000005</v>
      </c>
      <c r="E1235" s="29">
        <f>HYPERLINK("[P Only with New retention and Differentiation.xlsx]'Lake P Results'!AE331", 0.56)</f>
        <v>0.56000000000000005</v>
      </c>
      <c r="F1235" s="13"/>
      <c r="G1235" s="13"/>
      <c r="H1235" s="28">
        <f>HYPERLINK("[P Only Old retention.xlsx]'Lake P Results'!AM331", 600)</f>
        <v>600</v>
      </c>
      <c r="I1235" s="28">
        <f>HYPERLINK("[P Only New retention.xlsx]'Lake P Results'!AM331", 600)</f>
        <v>600</v>
      </c>
      <c r="J1235" s="28">
        <f>HYPERLINK("[P Only with New retention and Differentiation.xlsx]'Lake P Results'!AM331", 600)</f>
        <v>600</v>
      </c>
      <c r="K1235" s="13"/>
      <c r="L1235" s="13"/>
      <c r="M1235" s="29">
        <f>HYPERLINK("[P Only Old retention.xlsx]'Lake P Results'!AC331", 0.2)</f>
        <v>0.2</v>
      </c>
      <c r="N1235" s="29">
        <f>HYPERLINK("[P Only New retention.xlsx]'Lake P Results'!AC331", 0.298)</f>
        <v>0.29799999999999999</v>
      </c>
      <c r="O1235" s="29">
        <f>HYPERLINK("[P Only with New retention and Differentiation.xlsx]'Lake P Results'!AC331", 0.2)</f>
        <v>0.2</v>
      </c>
      <c r="P1235" s="46">
        <f>N1235-M1235</f>
        <v>9.7999999999999976E-2</v>
      </c>
      <c r="Q1235" s="13"/>
      <c r="R1235" s="29">
        <f>HYPERLINK("[P Only Old retention.xlsx]'Lake P Results'!Y331", 0.098)</f>
        <v>9.8000000000000004E-2</v>
      </c>
      <c r="S1235" s="13"/>
      <c r="T1235" s="29">
        <f>HYPERLINK("[P Only with New retention and Differentiation.xlsx]'Lake P Results'!Y331", 0.098)</f>
        <v>9.8000000000000004E-2</v>
      </c>
      <c r="U1235" s="47">
        <f>S1235-R1235</f>
        <v>-9.8000000000000004E-2</v>
      </c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  <c r="AZ1235" s="13"/>
      <c r="BA1235" s="13"/>
      <c r="BB1235" s="13"/>
      <c r="BC1235" s="13"/>
      <c r="BD1235" s="13"/>
      <c r="BE1235" s="13"/>
      <c r="BF1235" s="13"/>
      <c r="BG1235" s="13"/>
      <c r="BH1235" s="13"/>
      <c r="BI1235" s="13"/>
      <c r="BJ1235" s="13"/>
      <c r="BK1235" s="13"/>
      <c r="BL1235" s="13"/>
      <c r="BM1235" s="13"/>
      <c r="BN1235" s="13"/>
      <c r="BO1235" s="13"/>
    </row>
    <row r="1236" spans="1:67" x14ac:dyDescent="0.55000000000000004">
      <c r="A1236" s="30">
        <v>794</v>
      </c>
      <c r="B1236" s="6" t="s">
        <v>641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  <c r="AV1236" s="18"/>
      <c r="AW1236" s="18"/>
      <c r="AX1236" s="18"/>
      <c r="AY1236" s="18"/>
      <c r="AZ1236" s="18"/>
      <c r="BA1236" s="18"/>
      <c r="BB1236" s="18"/>
      <c r="BC1236" s="18"/>
      <c r="BD1236" s="18"/>
      <c r="BE1236" s="18"/>
      <c r="BF1236" s="18"/>
      <c r="BG1236" s="18"/>
      <c r="BH1236" s="18"/>
      <c r="BI1236" s="18"/>
      <c r="BJ1236" s="18"/>
      <c r="BK1236" s="18"/>
      <c r="BL1236" s="18"/>
      <c r="BM1236" s="18"/>
      <c r="BN1236" s="18"/>
      <c r="BO1236" s="18"/>
    </row>
    <row r="1237" spans="1:67" x14ac:dyDescent="0.55000000000000004">
      <c r="A1237" s="31">
        <v>796</v>
      </c>
      <c r="B1237" s="5" t="s">
        <v>642</v>
      </c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  <c r="AZ1237" s="13"/>
      <c r="BA1237" s="13"/>
      <c r="BB1237" s="13"/>
      <c r="BC1237" s="13"/>
      <c r="BD1237" s="13"/>
      <c r="BE1237" s="13"/>
      <c r="BF1237" s="13"/>
      <c r="BG1237" s="13"/>
      <c r="BH1237" s="13"/>
      <c r="BI1237" s="13"/>
      <c r="BJ1237" s="13"/>
      <c r="BK1237" s="13"/>
      <c r="BL1237" s="13"/>
      <c r="BM1237" s="13"/>
      <c r="BN1237" s="13"/>
      <c r="BO1237" s="13"/>
    </row>
    <row r="1238" spans="1:67" x14ac:dyDescent="0.55000000000000004">
      <c r="A1238" s="30">
        <v>800</v>
      </c>
      <c r="B1238" s="6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/>
      <c r="AQ1238" s="18"/>
      <c r="AR1238" s="18"/>
      <c r="AS1238" s="18"/>
      <c r="AT1238" s="18"/>
      <c r="AU1238" s="18"/>
      <c r="AV1238" s="18"/>
      <c r="AW1238" s="18"/>
      <c r="AX1238" s="18"/>
      <c r="AY1238" s="18"/>
      <c r="AZ1238" s="18"/>
      <c r="BA1238" s="18"/>
      <c r="BB1238" s="18"/>
      <c r="BC1238" s="18"/>
      <c r="BD1238" s="18"/>
      <c r="BE1238" s="18"/>
      <c r="BF1238" s="18"/>
      <c r="BG1238" s="18"/>
      <c r="BH1238" s="18"/>
      <c r="BI1238" s="18"/>
      <c r="BJ1238" s="18"/>
      <c r="BK1238" s="18"/>
      <c r="BL1238" s="18"/>
      <c r="BM1238" s="18"/>
      <c r="BN1238" s="18"/>
      <c r="BO1238" s="18"/>
    </row>
    <row r="1239" spans="1:67" x14ac:dyDescent="0.55000000000000004">
      <c r="A1239" s="31">
        <v>802</v>
      </c>
      <c r="B1239" s="5"/>
      <c r="C1239" s="13"/>
      <c r="D1239" s="13"/>
      <c r="E1239" s="13"/>
      <c r="F1239" s="13"/>
      <c r="G1239" s="13"/>
      <c r="H1239" s="28">
        <f>HYPERLINK("[P Only Old retention.xlsx]'Lake P Results'!AM335", 500)</f>
        <v>500</v>
      </c>
      <c r="I1239" s="28">
        <f>HYPERLINK("[P Only New retention.xlsx]'Lake P Results'!AM335", 500)</f>
        <v>500</v>
      </c>
      <c r="J1239" s="28">
        <f>HYPERLINK("[P Only with New retention and Differentiation.xlsx]'Lake P Results'!AM335", 500)</f>
        <v>500</v>
      </c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28">
        <f>HYPERLINK("[P Only Old retention.xlsx]'Lake P Results'!AH335", 20)</f>
        <v>20</v>
      </c>
      <c r="AR1239" s="28">
        <f>HYPERLINK("[P Only New retention.xlsx]'Lake P Results'!AH335", 20)</f>
        <v>20</v>
      </c>
      <c r="AS1239" s="28">
        <f>HYPERLINK("[P Only with New retention and Differentiation.xlsx]'Lake P Results'!AH335", 20)</f>
        <v>20</v>
      </c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  <c r="BO1239" s="13"/>
    </row>
    <row r="1240" spans="1:67" x14ac:dyDescent="0.55000000000000004">
      <c r="A1240" s="30">
        <v>805</v>
      </c>
      <c r="B1240" s="6" t="s">
        <v>643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  <c r="AO1240" s="18"/>
      <c r="AP1240" s="18"/>
      <c r="AQ1240" s="18"/>
      <c r="AR1240" s="18"/>
      <c r="AS1240" s="18"/>
      <c r="AT1240" s="18"/>
      <c r="AU1240" s="18"/>
      <c r="AV1240" s="18"/>
      <c r="AW1240" s="18"/>
      <c r="AX1240" s="18"/>
      <c r="AY1240" s="18"/>
      <c r="AZ1240" s="18"/>
      <c r="BA1240" s="18"/>
      <c r="BB1240" s="18"/>
      <c r="BC1240" s="18"/>
      <c r="BD1240" s="18"/>
      <c r="BE1240" s="18"/>
      <c r="BF1240" s="18"/>
      <c r="BG1240" s="18"/>
      <c r="BH1240" s="18"/>
      <c r="BI1240" s="18"/>
      <c r="BJ1240" s="18"/>
      <c r="BK1240" s="18"/>
      <c r="BL1240" s="18"/>
      <c r="BM1240" s="18"/>
      <c r="BN1240" s="18"/>
      <c r="BO1240" s="18"/>
    </row>
    <row r="1241" spans="1:67" x14ac:dyDescent="0.55000000000000004">
      <c r="A1241" s="31">
        <v>810</v>
      </c>
      <c r="B1241" s="5" t="s">
        <v>644</v>
      </c>
      <c r="C1241" s="13"/>
      <c r="D1241" s="13"/>
      <c r="E1241" s="13"/>
      <c r="F1241" s="13"/>
      <c r="G1241" s="13"/>
      <c r="H1241" s="28">
        <f>HYPERLINK("[P Only Old retention.xlsx]'Lake P Results'!AM337", 200)</f>
        <v>200</v>
      </c>
      <c r="I1241" s="28">
        <f>HYPERLINK("[P Only New retention.xlsx]'Lake P Results'!AM337", 200)</f>
        <v>200</v>
      </c>
      <c r="J1241" s="28">
        <f>HYPERLINK("[P Only with New retention and Differentiation.xlsx]'Lake P Results'!AM337", 200)</f>
        <v>200</v>
      </c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  <c r="BO1241" s="13"/>
    </row>
    <row r="1242" spans="1:67" x14ac:dyDescent="0.55000000000000004">
      <c r="A1242" s="30">
        <v>811</v>
      </c>
      <c r="B1242" s="6" t="s">
        <v>645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  <c r="AO1242" s="18"/>
      <c r="AP1242" s="18"/>
      <c r="AQ1242" s="18"/>
      <c r="AR1242" s="18"/>
      <c r="AS1242" s="18"/>
      <c r="AT1242" s="18"/>
      <c r="AU1242" s="18"/>
      <c r="AV1242" s="18"/>
      <c r="AW1242" s="18"/>
      <c r="AX1242" s="18"/>
      <c r="AY1242" s="18"/>
      <c r="AZ1242" s="18"/>
      <c r="BA1242" s="18"/>
      <c r="BB1242" s="18"/>
      <c r="BC1242" s="18"/>
      <c r="BD1242" s="18"/>
      <c r="BE1242" s="18"/>
      <c r="BF1242" s="18"/>
      <c r="BG1242" s="18"/>
      <c r="BH1242" s="18"/>
      <c r="BI1242" s="18"/>
      <c r="BJ1242" s="18"/>
      <c r="BK1242" s="18"/>
      <c r="BL1242" s="18"/>
      <c r="BM1242" s="18"/>
      <c r="BN1242" s="18"/>
      <c r="BO1242" s="18"/>
    </row>
    <row r="1243" spans="1:67" x14ac:dyDescent="0.55000000000000004">
      <c r="A1243" s="31">
        <v>813</v>
      </c>
      <c r="B1243" s="5" t="s">
        <v>646</v>
      </c>
      <c r="C1243" s="29">
        <f>HYPERLINK("[P Only Old retention.xlsx]'Lake P Results'!AE339", 0.310000000000001)</f>
        <v>0.310000000000001</v>
      </c>
      <c r="D1243" s="29">
        <f>HYPERLINK("[P Only New retention.xlsx]'Lake P Results'!AE339", 0.310000000000001)</f>
        <v>0.310000000000001</v>
      </c>
      <c r="E1243" s="29">
        <f>HYPERLINK("[P Only with New retention and Differentiation.xlsx]'Lake P Results'!AE339", 0.310000000000001)</f>
        <v>0.310000000000001</v>
      </c>
      <c r="F1243" s="13"/>
      <c r="G1243" s="13"/>
      <c r="H1243" s="28">
        <f>HYPERLINK("[P Only Old retention.xlsx]'Lake P Results'!AM339", 1200)</f>
        <v>1200</v>
      </c>
      <c r="I1243" s="28">
        <f>HYPERLINK("[P Only New retention.xlsx]'Lake P Results'!AM339", 1200)</f>
        <v>1200</v>
      </c>
      <c r="J1243" s="28">
        <f>HYPERLINK("[P Only with New retention and Differentiation.xlsx]'Lake P Results'!AM339", 1200)</f>
        <v>1200</v>
      </c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29">
        <f>HYPERLINK("[P Only Old retention.xlsx]'Lake P Results'!AA339", 0.55)</f>
        <v>0.55000000000000004</v>
      </c>
      <c r="AH1243" s="29">
        <f>HYPERLINK("[P Only New retention.xlsx]'Lake P Results'!AA339", 0.55)</f>
        <v>0.55000000000000004</v>
      </c>
      <c r="AI1243" s="29">
        <f>HYPERLINK("[P Only with New retention and Differentiation.xlsx]'Lake P Results'!AA339", 0.55)</f>
        <v>0.55000000000000004</v>
      </c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  <c r="BO1243" s="13"/>
    </row>
    <row r="1244" spans="1:67" x14ac:dyDescent="0.55000000000000004">
      <c r="A1244" s="30">
        <v>815</v>
      </c>
      <c r="B1244" s="6" t="s">
        <v>647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/>
      <c r="AP1244" s="18"/>
      <c r="AQ1244" s="18"/>
      <c r="AR1244" s="18"/>
      <c r="AS1244" s="18"/>
      <c r="AT1244" s="18"/>
      <c r="AU1244" s="18"/>
      <c r="AV1244" s="18"/>
      <c r="AW1244" s="18"/>
      <c r="AX1244" s="18"/>
      <c r="AY1244" s="18"/>
      <c r="AZ1244" s="18"/>
      <c r="BA1244" s="18"/>
      <c r="BB1244" s="18"/>
      <c r="BC1244" s="18"/>
      <c r="BD1244" s="18"/>
      <c r="BE1244" s="18"/>
      <c r="BF1244" s="18"/>
      <c r="BG1244" s="18"/>
      <c r="BH1244" s="18"/>
      <c r="BI1244" s="18"/>
      <c r="BJ1244" s="18"/>
      <c r="BK1244" s="18"/>
      <c r="BL1244" s="18"/>
      <c r="BM1244" s="18"/>
      <c r="BN1244" s="18"/>
      <c r="BO1244" s="18"/>
    </row>
    <row r="1245" spans="1:67" x14ac:dyDescent="0.55000000000000004">
      <c r="A1245" s="31">
        <v>816</v>
      </c>
      <c r="B1245" s="5" t="s">
        <v>648</v>
      </c>
      <c r="C1245" s="13"/>
      <c r="D1245" s="13"/>
      <c r="E1245" s="13"/>
      <c r="F1245" s="13"/>
      <c r="G1245" s="13"/>
      <c r="H1245" s="28">
        <f>HYPERLINK("[P Only Old retention.xlsx]'Lake P Results'!AM341", 1200)</f>
        <v>1200</v>
      </c>
      <c r="I1245" s="28">
        <f>HYPERLINK("[P Only New retention.xlsx]'Lake P Results'!AM341", 1200)</f>
        <v>1200</v>
      </c>
      <c r="J1245" s="28">
        <f>HYPERLINK("[P Only with New retention and Differentiation.xlsx]'Lake P Results'!AM341", 1200)</f>
        <v>1200</v>
      </c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  <c r="BO1245" s="13"/>
    </row>
    <row r="1246" spans="1:67" x14ac:dyDescent="0.55000000000000004">
      <c r="A1246" s="30">
        <v>821</v>
      </c>
      <c r="B1246" s="6" t="s">
        <v>649</v>
      </c>
      <c r="C1246" s="18"/>
      <c r="D1246" s="18"/>
      <c r="E1246" s="18"/>
      <c r="F1246" s="18"/>
      <c r="G1246" s="18"/>
      <c r="H1246" s="26">
        <f>HYPERLINK("[P Only Old retention.xlsx]'Lake P Results'!AM342", 300)</f>
        <v>300</v>
      </c>
      <c r="I1246" s="26">
        <f>HYPERLINK("[P Only New retention.xlsx]'Lake P Results'!AM342", 300)</f>
        <v>300</v>
      </c>
      <c r="J1246" s="26">
        <f>HYPERLINK("[P Only with New retention and Differentiation.xlsx]'Lake P Results'!AM342", 300)</f>
        <v>300</v>
      </c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  <c r="AO1246" s="18"/>
      <c r="AP1246" s="18"/>
      <c r="AQ1246" s="18"/>
      <c r="AR1246" s="18"/>
      <c r="AS1246" s="18"/>
      <c r="AT1246" s="18"/>
      <c r="AU1246" s="18"/>
      <c r="AV1246" s="18"/>
      <c r="AW1246" s="18"/>
      <c r="AX1246" s="18"/>
      <c r="AY1246" s="18"/>
      <c r="AZ1246" s="18"/>
      <c r="BA1246" s="18"/>
      <c r="BB1246" s="18"/>
      <c r="BC1246" s="18"/>
      <c r="BD1246" s="18"/>
      <c r="BE1246" s="18"/>
      <c r="BF1246" s="18"/>
      <c r="BG1246" s="18"/>
      <c r="BH1246" s="18"/>
      <c r="BI1246" s="18"/>
      <c r="BJ1246" s="18"/>
      <c r="BK1246" s="18"/>
      <c r="BL1246" s="18"/>
      <c r="BM1246" s="18"/>
      <c r="BN1246" s="18"/>
      <c r="BO1246" s="18"/>
    </row>
    <row r="1247" spans="1:67" x14ac:dyDescent="0.55000000000000004">
      <c r="A1247" s="31">
        <v>825</v>
      </c>
      <c r="B1247" s="5" t="s">
        <v>650</v>
      </c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  <c r="BO1247" s="13"/>
    </row>
    <row r="1248" spans="1:67" x14ac:dyDescent="0.55000000000000004">
      <c r="A1248" s="30">
        <v>826</v>
      </c>
      <c r="B1248" s="6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/>
      <c r="AS1248" s="18"/>
      <c r="AT1248" s="18"/>
      <c r="AU1248" s="18"/>
      <c r="AV1248" s="18"/>
      <c r="AW1248" s="18"/>
      <c r="AX1248" s="18"/>
      <c r="AY1248" s="18"/>
      <c r="AZ1248" s="18"/>
      <c r="BA1248" s="18"/>
      <c r="BB1248" s="18"/>
      <c r="BC1248" s="18"/>
      <c r="BD1248" s="18"/>
      <c r="BE1248" s="18"/>
      <c r="BF1248" s="18"/>
      <c r="BG1248" s="18"/>
      <c r="BH1248" s="18"/>
      <c r="BI1248" s="18"/>
      <c r="BJ1248" s="18"/>
      <c r="BK1248" s="18"/>
      <c r="BL1248" s="18"/>
      <c r="BM1248" s="18"/>
      <c r="BN1248" s="18"/>
      <c r="BO1248" s="18"/>
    </row>
    <row r="1249" spans="1:67" x14ac:dyDescent="0.55000000000000004">
      <c r="A1249" s="31">
        <v>827</v>
      </c>
      <c r="B1249" s="5" t="s">
        <v>651</v>
      </c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  <c r="BO1249" s="13"/>
    </row>
    <row r="1250" spans="1:67" x14ac:dyDescent="0.55000000000000004">
      <c r="A1250" s="30">
        <v>828</v>
      </c>
      <c r="B1250" s="6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  <c r="AO1250" s="18"/>
      <c r="AP1250" s="18"/>
      <c r="AQ1250" s="18"/>
      <c r="AR1250" s="18"/>
      <c r="AS1250" s="18"/>
      <c r="AT1250" s="18"/>
      <c r="AU1250" s="18"/>
      <c r="AV1250" s="18"/>
      <c r="AW1250" s="18"/>
      <c r="AX1250" s="18"/>
      <c r="AY1250" s="18"/>
      <c r="AZ1250" s="18"/>
      <c r="BA1250" s="18"/>
      <c r="BB1250" s="18"/>
      <c r="BC1250" s="18"/>
      <c r="BD1250" s="18"/>
      <c r="BE1250" s="18"/>
      <c r="BF1250" s="18"/>
      <c r="BG1250" s="18"/>
      <c r="BH1250" s="18"/>
      <c r="BI1250" s="18"/>
      <c r="BJ1250" s="18"/>
      <c r="BK1250" s="18"/>
      <c r="BL1250" s="18"/>
      <c r="BM1250" s="18"/>
      <c r="BN1250" s="18"/>
      <c r="BO1250" s="18"/>
    </row>
    <row r="1251" spans="1:67" x14ac:dyDescent="0.55000000000000004">
      <c r="A1251" s="31">
        <v>830</v>
      </c>
      <c r="B1251" s="5" t="s">
        <v>652</v>
      </c>
      <c r="C1251" s="29">
        <f>HYPERLINK("[P Only Old retention.xlsx]'Lake P Results'!AE347", 0.0499999999999998)</f>
        <v>4.9999999999999802E-2</v>
      </c>
      <c r="D1251" s="29">
        <f>HYPERLINK("[P Only New retention.xlsx]'Lake P Results'!AE347", 0.0499999999999998)</f>
        <v>4.9999999999999802E-2</v>
      </c>
      <c r="E1251" s="29">
        <f>HYPERLINK("[P Only with New retention and Differentiation.xlsx]'Lake P Results'!AE347", 0.0499999999999998)</f>
        <v>4.9999999999999802E-2</v>
      </c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  <c r="BO1251" s="13"/>
    </row>
    <row r="1252" spans="1:67" x14ac:dyDescent="0.55000000000000004">
      <c r="A1252" s="30">
        <v>832</v>
      </c>
      <c r="B1252" s="6" t="s">
        <v>653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  <c r="AV1252" s="18"/>
      <c r="AW1252" s="18"/>
      <c r="AX1252" s="18"/>
      <c r="AY1252" s="18"/>
      <c r="AZ1252" s="18"/>
      <c r="BA1252" s="18"/>
      <c r="BB1252" s="18"/>
      <c r="BC1252" s="18"/>
      <c r="BD1252" s="18"/>
      <c r="BE1252" s="18"/>
      <c r="BF1252" s="18"/>
      <c r="BG1252" s="18"/>
      <c r="BH1252" s="18"/>
      <c r="BI1252" s="18"/>
      <c r="BJ1252" s="18"/>
      <c r="BK1252" s="18"/>
      <c r="BL1252" s="18"/>
      <c r="BM1252" s="18"/>
      <c r="BN1252" s="18"/>
      <c r="BO1252" s="18"/>
    </row>
    <row r="1253" spans="1:67" x14ac:dyDescent="0.55000000000000004">
      <c r="A1253" s="31">
        <v>834</v>
      </c>
      <c r="B1253" s="5" t="s">
        <v>654</v>
      </c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  <c r="BO1253" s="13"/>
    </row>
    <row r="1254" spans="1:67" x14ac:dyDescent="0.55000000000000004">
      <c r="A1254" s="30">
        <v>835</v>
      </c>
      <c r="B1254" s="6" t="s">
        <v>655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  <c r="AV1254" s="18"/>
      <c r="AW1254" s="18"/>
      <c r="AX1254" s="18"/>
      <c r="AY1254" s="18"/>
      <c r="AZ1254" s="18"/>
      <c r="BA1254" s="18"/>
      <c r="BB1254" s="18"/>
      <c r="BC1254" s="18"/>
      <c r="BD1254" s="18"/>
      <c r="BE1254" s="18"/>
      <c r="BF1254" s="18"/>
      <c r="BG1254" s="18"/>
      <c r="BH1254" s="18"/>
      <c r="BI1254" s="18"/>
      <c r="BJ1254" s="18"/>
      <c r="BK1254" s="18"/>
      <c r="BL1254" s="18"/>
      <c r="BM1254" s="18"/>
      <c r="BN1254" s="18"/>
      <c r="BO1254" s="18"/>
    </row>
    <row r="1255" spans="1:67" x14ac:dyDescent="0.55000000000000004">
      <c r="A1255" s="31">
        <v>837</v>
      </c>
      <c r="B1255" s="5" t="s">
        <v>656</v>
      </c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  <c r="BO1255" s="13"/>
    </row>
    <row r="1256" spans="1:67" x14ac:dyDescent="0.55000000000000004">
      <c r="A1256" s="30">
        <v>838</v>
      </c>
      <c r="B1256" s="6" t="s">
        <v>657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  <c r="AO1256" s="18"/>
      <c r="AP1256" s="18"/>
      <c r="AQ1256" s="18"/>
      <c r="AR1256" s="18"/>
      <c r="AS1256" s="18"/>
      <c r="AT1256" s="18"/>
      <c r="AU1256" s="18"/>
      <c r="AV1256" s="18"/>
      <c r="AW1256" s="18"/>
      <c r="AX1256" s="18"/>
      <c r="AY1256" s="18"/>
      <c r="AZ1256" s="18"/>
      <c r="BA1256" s="18"/>
      <c r="BB1256" s="18"/>
      <c r="BC1256" s="18"/>
      <c r="BD1256" s="18"/>
      <c r="BE1256" s="18"/>
      <c r="BF1256" s="18"/>
      <c r="BG1256" s="18"/>
      <c r="BH1256" s="18"/>
      <c r="BI1256" s="18"/>
      <c r="BJ1256" s="18"/>
      <c r="BK1256" s="18"/>
      <c r="BL1256" s="18"/>
      <c r="BM1256" s="18"/>
      <c r="BN1256" s="18"/>
      <c r="BO1256" s="18"/>
    </row>
    <row r="1257" spans="1:67" x14ac:dyDescent="0.55000000000000004">
      <c r="A1257" s="31">
        <v>841</v>
      </c>
      <c r="B1257" s="5" t="s">
        <v>658</v>
      </c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</row>
    <row r="1258" spans="1:67" x14ac:dyDescent="0.55000000000000004">
      <c r="A1258" s="30">
        <v>843</v>
      </c>
      <c r="B1258" s="6" t="s">
        <v>659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  <c r="AV1258" s="18"/>
      <c r="AW1258" s="18"/>
      <c r="AX1258" s="18"/>
      <c r="AY1258" s="18"/>
      <c r="AZ1258" s="18"/>
      <c r="BA1258" s="18"/>
      <c r="BB1258" s="18"/>
      <c r="BC1258" s="18"/>
      <c r="BD1258" s="18"/>
      <c r="BE1258" s="18"/>
      <c r="BF1258" s="18"/>
      <c r="BG1258" s="18"/>
      <c r="BH1258" s="18"/>
      <c r="BI1258" s="18"/>
      <c r="BJ1258" s="18"/>
      <c r="BK1258" s="18"/>
      <c r="BL1258" s="18"/>
      <c r="BM1258" s="18"/>
      <c r="BN1258" s="18"/>
      <c r="BO1258" s="18"/>
    </row>
    <row r="1259" spans="1:67" x14ac:dyDescent="0.55000000000000004">
      <c r="A1259" s="31">
        <v>845</v>
      </c>
      <c r="B1259" s="5" t="s">
        <v>660</v>
      </c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</row>
    <row r="1260" spans="1:67" x14ac:dyDescent="0.55000000000000004">
      <c r="A1260" s="30">
        <v>846</v>
      </c>
      <c r="B1260" s="6" t="s">
        <v>661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  <c r="AO1260" s="18"/>
      <c r="AP1260" s="18"/>
      <c r="AQ1260" s="18"/>
      <c r="AR1260" s="18"/>
      <c r="AS1260" s="18"/>
      <c r="AT1260" s="18"/>
      <c r="AU1260" s="18"/>
      <c r="AV1260" s="18"/>
      <c r="AW1260" s="18"/>
      <c r="AX1260" s="18"/>
      <c r="AY1260" s="18"/>
      <c r="AZ1260" s="18"/>
      <c r="BA1260" s="18"/>
      <c r="BB1260" s="18"/>
      <c r="BC1260" s="18"/>
      <c r="BD1260" s="18"/>
      <c r="BE1260" s="18"/>
      <c r="BF1260" s="18"/>
      <c r="BG1260" s="18"/>
      <c r="BH1260" s="18"/>
      <c r="BI1260" s="18"/>
      <c r="BJ1260" s="18"/>
      <c r="BK1260" s="18"/>
      <c r="BL1260" s="18"/>
      <c r="BM1260" s="18"/>
      <c r="BN1260" s="18"/>
      <c r="BO1260" s="18"/>
    </row>
    <row r="1261" spans="1:67" x14ac:dyDescent="0.55000000000000004">
      <c r="A1261" s="31">
        <v>847</v>
      </c>
      <c r="B1261" s="5" t="s">
        <v>662</v>
      </c>
      <c r="C1261" s="29">
        <f>HYPERLINK("[P Only Old retention.xlsx]'Lake P Results'!AE357", 22.082)</f>
        <v>22.082000000000001</v>
      </c>
      <c r="D1261" s="29">
        <f>HYPERLINK("[P Only New retention.xlsx]'Lake P Results'!AE357", 22.172)</f>
        <v>22.172000000000001</v>
      </c>
      <c r="E1261" s="29">
        <f>HYPERLINK("[P Only with New retention and Differentiation.xlsx]'Lake P Results'!AE357", 22.1)</f>
        <v>22.1</v>
      </c>
      <c r="F1261" s="46">
        <f>D1261-C1261</f>
        <v>8.9999999999999858E-2</v>
      </c>
      <c r="G1261" s="46">
        <f>E1261-C1261</f>
        <v>1.8000000000000682E-2</v>
      </c>
      <c r="H1261" s="28">
        <f>HYPERLINK("[P Only Old retention.xlsx]'Lake P Results'!AM357", 18700)</f>
        <v>18700</v>
      </c>
      <c r="I1261" s="28">
        <f>HYPERLINK("[P Only New retention.xlsx]'Lake P Results'!AM357", 18700)</f>
        <v>18700</v>
      </c>
      <c r="J1261" s="28">
        <f>HYPERLINK("[P Only with New retention and Differentiation.xlsx]'Lake P Results'!AM357", 18700)</f>
        <v>18700</v>
      </c>
      <c r="K1261" s="13"/>
      <c r="L1261" s="13"/>
      <c r="M1261" s="29">
        <f>HYPERLINK("[P Only Old retention.xlsx]'Lake P Results'!AC357", 0.152)</f>
        <v>0.152</v>
      </c>
      <c r="N1261" s="29">
        <f>HYPERLINK("[P Only New retention.xlsx]'Lake P Results'!AC357", 0.152)</f>
        <v>0.152</v>
      </c>
      <c r="O1261" s="29">
        <f>HYPERLINK("[P Only with New retention and Differentiation.xlsx]'Lake P Results'!AC357", 0.152)</f>
        <v>0.152</v>
      </c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29">
        <f>HYPERLINK("[P Only Old retention.xlsx]'Lake P Results'!AA357", 2.16)</f>
        <v>2.16</v>
      </c>
      <c r="AH1261" s="29">
        <f>HYPERLINK("[P Only New retention.xlsx]'Lake P Results'!AA357", 2.16)</f>
        <v>2.16</v>
      </c>
      <c r="AI1261" s="29">
        <f>HYPERLINK("[P Only with New retention and Differentiation.xlsx]'Lake P Results'!AA357", 2.16)</f>
        <v>2.16</v>
      </c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</row>
    <row r="1262" spans="1:67" x14ac:dyDescent="0.55000000000000004">
      <c r="A1262" s="30">
        <v>848</v>
      </c>
      <c r="B1262" s="6" t="s">
        <v>663</v>
      </c>
      <c r="C1262" s="18"/>
      <c r="D1262" s="18"/>
      <c r="E1262" s="18"/>
      <c r="F1262" s="18"/>
      <c r="G1262" s="18"/>
      <c r="H1262" s="26">
        <f>HYPERLINK("[P Only Old retention.xlsx]'Lake P Results'!AM358", 100)</f>
        <v>100</v>
      </c>
      <c r="I1262" s="26">
        <f>HYPERLINK("[P Only New retention.xlsx]'Lake P Results'!AM358", 100)</f>
        <v>100</v>
      </c>
      <c r="J1262" s="26">
        <f>HYPERLINK("[P Only with New retention and Differentiation.xlsx]'Lake P Results'!AM358", 100)</f>
        <v>100</v>
      </c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27">
        <f>HYPERLINK("[P Only Old retention.xlsx]'Lake P Results'!AA358", 1.1319999978344)</f>
        <v>1.1319999978344</v>
      </c>
      <c r="AH1262" s="27">
        <f>HYPERLINK("[P Only New retention.xlsx]'Lake P Results'!AA358", 1.132)</f>
        <v>1.1319999999999999</v>
      </c>
      <c r="AI1262" s="27">
        <f>HYPERLINK("[P Only with New retention and Differentiation.xlsx]'Lake P Results'!AA358", 1.132)</f>
        <v>1.1319999999999999</v>
      </c>
      <c r="AJ1262" s="46">
        <f>AH1262-AG1262</f>
        <v>2.1655999216108057E-9</v>
      </c>
      <c r="AK1262" s="46">
        <f>AI1262-AG1262</f>
        <v>2.1655999216108057E-9</v>
      </c>
      <c r="AL1262" s="18"/>
      <c r="AM1262" s="18"/>
      <c r="AN1262" s="18"/>
      <c r="AO1262" s="18"/>
      <c r="AP1262" s="18"/>
      <c r="AQ1262" s="18"/>
      <c r="AR1262" s="18"/>
      <c r="AS1262" s="18"/>
      <c r="AT1262" s="18"/>
      <c r="AU1262" s="18"/>
      <c r="AV1262" s="18"/>
      <c r="AW1262" s="18"/>
      <c r="AX1262" s="18"/>
      <c r="AY1262" s="18"/>
      <c r="AZ1262" s="18"/>
      <c r="BA1262" s="18"/>
      <c r="BB1262" s="18"/>
      <c r="BC1262" s="18"/>
      <c r="BD1262" s="18"/>
      <c r="BE1262" s="18"/>
      <c r="BF1262" s="18"/>
      <c r="BG1262" s="18"/>
      <c r="BH1262" s="18"/>
      <c r="BI1262" s="18"/>
      <c r="BJ1262" s="18"/>
      <c r="BK1262" s="18"/>
      <c r="BL1262" s="18"/>
      <c r="BM1262" s="18"/>
      <c r="BN1262" s="18"/>
      <c r="BO1262" s="18"/>
    </row>
    <row r="1263" spans="1:67" x14ac:dyDescent="0.55000000000000004">
      <c r="A1263" s="31">
        <v>849</v>
      </c>
      <c r="B1263" s="5" t="s">
        <v>664</v>
      </c>
      <c r="C1263" s="13"/>
      <c r="D1263" s="13"/>
      <c r="E1263" s="13"/>
      <c r="F1263" s="13"/>
      <c r="G1263" s="13"/>
      <c r="H1263" s="28">
        <f>HYPERLINK("[P Only Old retention.xlsx]'Lake P Results'!AM359", 800)</f>
        <v>800</v>
      </c>
      <c r="I1263" s="28">
        <f>HYPERLINK("[P Only New retention.xlsx]'Lake P Results'!AM359", 800)</f>
        <v>800</v>
      </c>
      <c r="J1263" s="28">
        <f>HYPERLINK("[P Only with New retention and Differentiation.xlsx]'Lake P Results'!AM359", 800)</f>
        <v>800</v>
      </c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</row>
    <row r="1264" spans="1:67" x14ac:dyDescent="0.55000000000000004">
      <c r="A1264" s="30">
        <v>850</v>
      </c>
      <c r="B1264" s="6" t="s">
        <v>665</v>
      </c>
      <c r="C1264" s="27">
        <f>HYPERLINK("[P Only Old retention.xlsx]'Lake P Results'!AE360", 8.584)</f>
        <v>8.5839999999999996</v>
      </c>
      <c r="D1264" s="27">
        <f>HYPERLINK("[P Only New retention.xlsx]'Lake P Results'!AE360", 8.444)</f>
        <v>8.4440000000000008</v>
      </c>
      <c r="E1264" s="27">
        <f>HYPERLINK("[P Only with New retention and Differentiation.xlsx]'Lake P Results'!AE360", 8.444)</f>
        <v>8.4440000000000008</v>
      </c>
      <c r="F1264" s="47">
        <f>D1264-C1264</f>
        <v>-0.13999999999999879</v>
      </c>
      <c r="G1264" s="47">
        <f>E1264-C1264</f>
        <v>-0.13999999999999879</v>
      </c>
      <c r="H1264" s="26">
        <f>HYPERLINK("[P Only Old retention.xlsx]'Lake P Results'!AM360", 28000)</f>
        <v>28000</v>
      </c>
      <c r="I1264" s="26">
        <f>HYPERLINK("[P Only New retention.xlsx]'Lake P Results'!AM360", 27900)</f>
        <v>27900</v>
      </c>
      <c r="J1264" s="26">
        <f>HYPERLINK("[P Only with New retention and Differentiation.xlsx]'Lake P Results'!AM360", 27900)</f>
        <v>27900</v>
      </c>
      <c r="K1264" s="21">
        <f>I1264-H1264</f>
        <v>-100</v>
      </c>
      <c r="L1264" s="21">
        <f>J1264-H1264</f>
        <v>-100</v>
      </c>
      <c r="M1264" s="27">
        <f>HYPERLINK("[P Only Old retention.xlsx]'Lake P Results'!AC360", 3.328)</f>
        <v>3.3279999999999998</v>
      </c>
      <c r="N1264" s="27">
        <f>HYPERLINK("[P Only New retention.xlsx]'Lake P Results'!AC360", 3.308)</f>
        <v>3.3079999999999998</v>
      </c>
      <c r="O1264" s="27">
        <f>HYPERLINK("[P Only with New retention and Differentiation.xlsx]'Lake P Results'!AC360", 3.308)</f>
        <v>3.3079999999999998</v>
      </c>
      <c r="P1264" s="47">
        <f>N1264-M1264</f>
        <v>-2.0000000000000018E-2</v>
      </c>
      <c r="Q1264" s="47">
        <f>O1264-M1264</f>
        <v>-2.0000000000000018E-2</v>
      </c>
      <c r="R1264" s="27">
        <f>HYPERLINK("[P Only Old retention.xlsx]'Lake P Results'!Y360", 0.248)</f>
        <v>0.248</v>
      </c>
      <c r="S1264" s="27">
        <f>HYPERLINK("[P Only New retention.xlsx]'Lake P Results'!Y360", 0.268)</f>
        <v>0.26800000000000002</v>
      </c>
      <c r="T1264" s="27">
        <f>HYPERLINK("[P Only with New retention and Differentiation.xlsx]'Lake P Results'!Y360", 0.206)</f>
        <v>0.20599999999999999</v>
      </c>
      <c r="U1264" s="46">
        <f>S1264-R1264</f>
        <v>2.0000000000000018E-2</v>
      </c>
      <c r="V1264" s="47">
        <f>T1264-R1264</f>
        <v>-4.200000000000001E-2</v>
      </c>
      <c r="W1264" s="18"/>
      <c r="X1264" s="18"/>
      <c r="Y1264" s="18"/>
      <c r="Z1264" s="18"/>
      <c r="AA1264" s="18"/>
      <c r="AB1264" s="18"/>
      <c r="AC1264" s="18"/>
      <c r="AD1264" s="27">
        <f>HYPERLINK("[P Only with New retention and Differentiation.xlsx]'Lake P Results'!Z360", 0.062)</f>
        <v>6.2E-2</v>
      </c>
      <c r="AE1264" s="18"/>
      <c r="AF1264" s="46">
        <f>AD1264-AB1264</f>
        <v>6.2E-2</v>
      </c>
      <c r="AG1264" s="27">
        <f>HYPERLINK("[P Only Old retention.xlsx]'Lake P Results'!AA360", 0.1)</f>
        <v>0.1</v>
      </c>
      <c r="AH1264" s="27">
        <f>HYPERLINK("[P Only New retention.xlsx]'Lake P Results'!AA360", 3.372)</f>
        <v>3.3719999999999999</v>
      </c>
      <c r="AI1264" s="27">
        <f>HYPERLINK("[P Only with New retention and Differentiation.xlsx]'Lake P Results'!AA360", 3.372)</f>
        <v>3.3719999999999999</v>
      </c>
      <c r="AJ1264" s="46">
        <f>AH1264-AG1264</f>
        <v>3.2719999999999998</v>
      </c>
      <c r="AK1264" s="46">
        <f>AI1264-AG1264</f>
        <v>3.2719999999999998</v>
      </c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  <c r="AV1264" s="18"/>
      <c r="AW1264" s="18"/>
      <c r="AX1264" s="18"/>
      <c r="AY1264" s="18"/>
      <c r="AZ1264" s="18"/>
      <c r="BA1264" s="27">
        <f>HYPERLINK("[P Only Old retention.xlsx]'Lake P Results'!O360", 0.004)</f>
        <v>4.0000000000000001E-3</v>
      </c>
      <c r="BB1264" s="27">
        <f>HYPERLINK("[P Only New retention.xlsx]'Lake P Results'!O360", 0.004)</f>
        <v>4.0000000000000001E-3</v>
      </c>
      <c r="BC1264" s="27">
        <f>HYPERLINK("[P Only with New retention and Differentiation.xlsx]'Lake P Results'!O360", 0.004)</f>
        <v>4.0000000000000001E-3</v>
      </c>
      <c r="BD1264" s="18"/>
      <c r="BE1264" s="18"/>
      <c r="BF1264" s="18"/>
      <c r="BG1264" s="18"/>
      <c r="BH1264" s="18"/>
      <c r="BI1264" s="18"/>
      <c r="BJ1264" s="18"/>
      <c r="BK1264" s="18"/>
      <c r="BL1264" s="18"/>
      <c r="BM1264" s="18"/>
      <c r="BN1264" s="18"/>
      <c r="BO1264" s="18"/>
    </row>
    <row r="1265" spans="1:67" x14ac:dyDescent="0.55000000000000004">
      <c r="A1265" s="31">
        <v>851</v>
      </c>
      <c r="B1265" s="5" t="s">
        <v>666</v>
      </c>
      <c r="C1265" s="29">
        <f>HYPERLINK("[P Only Old retention.xlsx]'Lake P Results'!AE361", 0.4)</f>
        <v>0.4</v>
      </c>
      <c r="D1265" s="29">
        <f>HYPERLINK("[P Only New retention.xlsx]'Lake P Results'!AE361", 0.4)</f>
        <v>0.4</v>
      </c>
      <c r="E1265" s="29">
        <f>HYPERLINK("[P Only with New retention and Differentiation.xlsx]'Lake P Results'!AE361", 0.4)</f>
        <v>0.4</v>
      </c>
      <c r="F1265" s="13"/>
      <c r="G1265" s="13"/>
      <c r="H1265" s="28">
        <f>HYPERLINK("[P Only Old retention.xlsx]'Lake P Results'!AM361", 3000)</f>
        <v>3000</v>
      </c>
      <c r="I1265" s="28">
        <f>HYPERLINK("[P Only New retention.xlsx]'Lake P Results'!AM361", 3000)</f>
        <v>3000</v>
      </c>
      <c r="J1265" s="28">
        <f>HYPERLINK("[P Only with New retention and Differentiation.xlsx]'Lake P Results'!AM361", 3000)</f>
        <v>3000</v>
      </c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</row>
    <row r="1266" spans="1:67" x14ac:dyDescent="0.55000000000000004">
      <c r="A1266" s="30">
        <v>852</v>
      </c>
      <c r="B1266" s="6" t="s">
        <v>667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  <c r="AV1266" s="18"/>
      <c r="AW1266" s="18"/>
      <c r="AX1266" s="18"/>
      <c r="AY1266" s="18"/>
      <c r="AZ1266" s="18"/>
      <c r="BA1266" s="18"/>
      <c r="BB1266" s="18"/>
      <c r="BC1266" s="18"/>
      <c r="BD1266" s="18"/>
      <c r="BE1266" s="18"/>
      <c r="BF1266" s="18"/>
      <c r="BG1266" s="18"/>
      <c r="BH1266" s="18"/>
      <c r="BI1266" s="18"/>
      <c r="BJ1266" s="18"/>
      <c r="BK1266" s="18"/>
      <c r="BL1266" s="18"/>
      <c r="BM1266" s="18"/>
      <c r="BN1266" s="18"/>
      <c r="BO1266" s="18"/>
    </row>
    <row r="1267" spans="1:67" x14ac:dyDescent="0.55000000000000004">
      <c r="A1267" s="31">
        <v>856</v>
      </c>
      <c r="B1267" s="5" t="s">
        <v>668</v>
      </c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  <c r="BO1267" s="13"/>
    </row>
    <row r="1268" spans="1:67" x14ac:dyDescent="0.55000000000000004">
      <c r="A1268" s="30">
        <v>858</v>
      </c>
      <c r="B1268" s="6" t="s">
        <v>669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  <c r="AV1268" s="18"/>
      <c r="AW1268" s="18"/>
      <c r="AX1268" s="18"/>
      <c r="AY1268" s="18"/>
      <c r="AZ1268" s="18"/>
      <c r="BA1268" s="18"/>
      <c r="BB1268" s="18"/>
      <c r="BC1268" s="18"/>
      <c r="BD1268" s="18"/>
      <c r="BE1268" s="18"/>
      <c r="BF1268" s="18"/>
      <c r="BG1268" s="18"/>
      <c r="BH1268" s="18"/>
      <c r="BI1268" s="18"/>
      <c r="BJ1268" s="18"/>
      <c r="BK1268" s="18"/>
      <c r="BL1268" s="18"/>
      <c r="BM1268" s="18"/>
      <c r="BN1268" s="18"/>
      <c r="BO1268" s="18"/>
    </row>
    <row r="1269" spans="1:67" x14ac:dyDescent="0.55000000000000004">
      <c r="A1269" s="31">
        <v>861</v>
      </c>
      <c r="B1269" s="5" t="s">
        <v>670</v>
      </c>
      <c r="C1269" s="13"/>
      <c r="D1269" s="13"/>
      <c r="E1269" s="13"/>
      <c r="F1269" s="13"/>
      <c r="G1269" s="13"/>
      <c r="H1269" s="28">
        <f>HYPERLINK("[P Only Old retention.xlsx]'Lake P Results'!AM365", 2700)</f>
        <v>2700</v>
      </c>
      <c r="I1269" s="28">
        <f>HYPERLINK("[P Only New retention.xlsx]'Lake P Results'!AM365", 2700)</f>
        <v>2700</v>
      </c>
      <c r="J1269" s="28">
        <f>HYPERLINK("[P Only with New retention and Differentiation.xlsx]'Lake P Results'!AM365", 2700)</f>
        <v>2700</v>
      </c>
      <c r="K1269" s="13"/>
      <c r="L1269" s="13"/>
      <c r="M1269" s="29">
        <f>HYPERLINK("[P Only Old retention.xlsx]'Lake P Results'!AC365", 26.32)</f>
        <v>26.32</v>
      </c>
      <c r="N1269" s="29">
        <f>HYPERLINK("[P Only New retention.xlsx]'Lake P Results'!AC365", 27.91)</f>
        <v>27.91</v>
      </c>
      <c r="O1269" s="29">
        <f>HYPERLINK("[P Only with New retention and Differentiation.xlsx]'Lake P Results'!AC365", 40.2)</f>
        <v>40.200000000000003</v>
      </c>
      <c r="P1269" s="46">
        <f>N1269-M1269</f>
        <v>1.5899999999999999</v>
      </c>
      <c r="Q1269" s="46">
        <f>O1269-M1269</f>
        <v>13.880000000000003</v>
      </c>
      <c r="R1269" s="29">
        <f>HYPERLINK("[P Only Old retention.xlsx]'Lake P Results'!Y365", 6.73)</f>
        <v>6.73</v>
      </c>
      <c r="S1269" s="29">
        <f>HYPERLINK("[P Only New retention.xlsx]'Lake P Results'!Y365", 12.17)</f>
        <v>12.17</v>
      </c>
      <c r="T1269" s="29">
        <f>HYPERLINK("[P Only with New retention and Differentiation.xlsx]'Lake P Results'!Y365", 3.17)</f>
        <v>3.17</v>
      </c>
      <c r="U1269" s="46">
        <f>S1269-R1269</f>
        <v>5.4399999999999995</v>
      </c>
      <c r="V1269" s="47">
        <f>T1269-R1269</f>
        <v>-3.5600000000000005</v>
      </c>
      <c r="W1269" s="29">
        <f>HYPERLINK("[P Only Old retention.xlsx]'Lake P Results'!V365", 16.65)</f>
        <v>16.649999999999999</v>
      </c>
      <c r="X1269" s="29">
        <f>HYPERLINK("[P Only New retention.xlsx]'Lake P Results'!V365", 16.65)</f>
        <v>16.649999999999999</v>
      </c>
      <c r="Y1269" s="29">
        <f>HYPERLINK("[P Only with New retention and Differentiation.xlsx]'Lake P Results'!V365", 16.65)</f>
        <v>16.649999999999999</v>
      </c>
      <c r="Z1269" s="13"/>
      <c r="AA1269" s="13"/>
      <c r="AB1269" s="29">
        <f>HYPERLINK("[P Only Old retention.xlsx]'Lake P Results'!Z365", 21.29)</f>
        <v>21.29</v>
      </c>
      <c r="AC1269" s="29">
        <f>HYPERLINK("[P Only New retention.xlsx]'Lake P Results'!Z365", 14.26)</f>
        <v>14.26</v>
      </c>
      <c r="AD1269" s="29">
        <f>HYPERLINK("[P Only with New retention and Differentiation.xlsx]'Lake P Results'!Z365", 10.97)</f>
        <v>10.97</v>
      </c>
      <c r="AE1269" s="47">
        <f>AC1269-AB1269</f>
        <v>-7.0299999999999994</v>
      </c>
      <c r="AF1269" s="47">
        <f>AD1269-AB1269</f>
        <v>-10.319999999999999</v>
      </c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28">
        <f>HYPERLINK("[P Only Old retention.xlsx]'Lake P Results'!AH365", 20)</f>
        <v>20</v>
      </c>
      <c r="AR1269" s="28">
        <f>HYPERLINK("[P Only New retention.xlsx]'Lake P Results'!AH365", 20)</f>
        <v>20</v>
      </c>
      <c r="AS1269" s="28">
        <f>HYPERLINK("[P Only with New retention and Differentiation.xlsx]'Lake P Results'!AH365", 20)</f>
        <v>20</v>
      </c>
      <c r="AT1269" s="13"/>
      <c r="AU1269" s="13"/>
      <c r="AV1269" s="13"/>
      <c r="AW1269" s="13"/>
      <c r="AX1269" s="13"/>
      <c r="AY1269" s="13"/>
      <c r="AZ1269" s="13"/>
      <c r="BA1269" s="29">
        <f>HYPERLINK("[P Only Old retention.xlsx]'Lake P Results'!O365", 56.882)</f>
        <v>56.881999999999998</v>
      </c>
      <c r="BB1269" s="29">
        <f>HYPERLINK("[P Only New retention.xlsx]'Lake P Results'!O365", 56.882)</f>
        <v>56.881999999999998</v>
      </c>
      <c r="BC1269" s="29">
        <f>HYPERLINK("[P Only with New retention and Differentiation.xlsx]'Lake P Results'!O365", 56.882)</f>
        <v>56.881999999999998</v>
      </c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  <c r="BO1269" s="13"/>
    </row>
    <row r="1270" spans="1:67" x14ac:dyDescent="0.55000000000000004">
      <c r="A1270" s="30">
        <v>863</v>
      </c>
      <c r="B1270" s="6" t="s">
        <v>671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  <c r="AV1270" s="18"/>
      <c r="AW1270" s="18"/>
      <c r="AX1270" s="18"/>
      <c r="AY1270" s="18"/>
      <c r="AZ1270" s="18"/>
      <c r="BA1270" s="18"/>
      <c r="BB1270" s="18"/>
      <c r="BC1270" s="18"/>
      <c r="BD1270" s="18"/>
      <c r="BE1270" s="18"/>
      <c r="BF1270" s="18"/>
      <c r="BG1270" s="18"/>
      <c r="BH1270" s="18"/>
      <c r="BI1270" s="18"/>
      <c r="BJ1270" s="18"/>
      <c r="BK1270" s="18"/>
      <c r="BL1270" s="18"/>
      <c r="BM1270" s="18"/>
      <c r="BN1270" s="18"/>
      <c r="BO1270" s="18"/>
    </row>
    <row r="1271" spans="1:67" x14ac:dyDescent="0.55000000000000004">
      <c r="A1271" s="31">
        <v>867</v>
      </c>
      <c r="B1271" s="5" t="s">
        <v>672</v>
      </c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  <c r="BO1271" s="13"/>
    </row>
    <row r="1272" spans="1:67" x14ac:dyDescent="0.55000000000000004">
      <c r="A1272" s="30">
        <v>868</v>
      </c>
      <c r="B1272" s="6" t="s">
        <v>673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  <c r="AO1272" s="18"/>
      <c r="AP1272" s="18"/>
      <c r="AQ1272" s="18"/>
      <c r="AR1272" s="18"/>
      <c r="AS1272" s="18"/>
      <c r="AT1272" s="18"/>
      <c r="AU1272" s="18"/>
      <c r="AV1272" s="18"/>
      <c r="AW1272" s="18"/>
      <c r="AX1272" s="18"/>
      <c r="AY1272" s="18"/>
      <c r="AZ1272" s="18"/>
      <c r="BA1272" s="18"/>
      <c r="BB1272" s="18"/>
      <c r="BC1272" s="18"/>
      <c r="BD1272" s="18"/>
      <c r="BE1272" s="18"/>
      <c r="BF1272" s="18"/>
      <c r="BG1272" s="18"/>
      <c r="BH1272" s="18"/>
      <c r="BI1272" s="18"/>
      <c r="BJ1272" s="18"/>
      <c r="BK1272" s="18"/>
      <c r="BL1272" s="18"/>
      <c r="BM1272" s="18"/>
      <c r="BN1272" s="18"/>
      <c r="BO1272" s="18"/>
    </row>
    <row r="1273" spans="1:67" x14ac:dyDescent="0.55000000000000004">
      <c r="A1273" s="31">
        <v>869</v>
      </c>
      <c r="B1273" s="5" t="s">
        <v>674</v>
      </c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29">
        <f>HYPERLINK("[P Only Old retention.xlsx]'Lake P Results'!AC369", 0.74)</f>
        <v>0.74</v>
      </c>
      <c r="N1273" s="29">
        <f>HYPERLINK("[P Only New retention.xlsx]'Lake P Results'!AC369", 0.004)</f>
        <v>4.0000000000000001E-3</v>
      </c>
      <c r="O1273" s="13"/>
      <c r="P1273" s="47">
        <f>N1273-M1273</f>
        <v>-0.73599999999999999</v>
      </c>
      <c r="Q1273" s="47">
        <f>O1273-M1273</f>
        <v>-0.74</v>
      </c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29">
        <f>HYPERLINK("[P Only New retention.xlsx]'Lake P Results'!Z369", 0.74)</f>
        <v>0.74</v>
      </c>
      <c r="AD1273" s="29">
        <f>HYPERLINK("[P Only with New retention and Differentiation.xlsx]'Lake P Results'!Z369", 0.004)</f>
        <v>4.0000000000000001E-3</v>
      </c>
      <c r="AE1273" s="46">
        <f>AC1273-AB1273</f>
        <v>0.74</v>
      </c>
      <c r="AF1273" s="46">
        <f>AD1273-AB1273</f>
        <v>4.0000000000000001E-3</v>
      </c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</row>
    <row r="1274" spans="1:67" x14ac:dyDescent="0.55000000000000004">
      <c r="A1274" s="30">
        <v>870</v>
      </c>
      <c r="B1274" s="6" t="s">
        <v>675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  <c r="AO1274" s="18"/>
      <c r="AP1274" s="18"/>
      <c r="AQ1274" s="18"/>
      <c r="AR1274" s="18"/>
      <c r="AS1274" s="18"/>
      <c r="AT1274" s="18"/>
      <c r="AU1274" s="18"/>
      <c r="AV1274" s="18"/>
      <c r="AW1274" s="18"/>
      <c r="AX1274" s="18"/>
      <c r="AY1274" s="18"/>
      <c r="AZ1274" s="18"/>
      <c r="BA1274" s="18"/>
      <c r="BB1274" s="18"/>
      <c r="BC1274" s="18"/>
      <c r="BD1274" s="18"/>
      <c r="BE1274" s="18"/>
      <c r="BF1274" s="18"/>
      <c r="BG1274" s="18"/>
      <c r="BH1274" s="18"/>
      <c r="BI1274" s="18"/>
      <c r="BJ1274" s="18"/>
      <c r="BK1274" s="18"/>
      <c r="BL1274" s="18"/>
      <c r="BM1274" s="18"/>
      <c r="BN1274" s="18"/>
      <c r="BO1274" s="18"/>
    </row>
    <row r="1275" spans="1:67" x14ac:dyDescent="0.55000000000000004">
      <c r="A1275" s="31">
        <v>871</v>
      </c>
      <c r="B1275" s="5" t="s">
        <v>676</v>
      </c>
      <c r="C1275" s="29">
        <f>HYPERLINK("[P Only Old retention.xlsx]'Lake P Results'!AE371", 31.194)</f>
        <v>31.193999999999999</v>
      </c>
      <c r="D1275" s="29">
        <f>HYPERLINK("[P Only New retention.xlsx]'Lake P Results'!AE371", 31.194)</f>
        <v>31.193999999999999</v>
      </c>
      <c r="E1275" s="29">
        <f>HYPERLINK("[P Only with New retention and Differentiation.xlsx]'Lake P Results'!AE371", 31.194)</f>
        <v>31.193999999999999</v>
      </c>
      <c r="F1275" s="13"/>
      <c r="G1275" s="13"/>
      <c r="H1275" s="28">
        <f>HYPERLINK("[P Only Old retention.xlsx]'Lake P Results'!AM371", 28200)</f>
        <v>28200</v>
      </c>
      <c r="I1275" s="28">
        <f>HYPERLINK("[P Only New retention.xlsx]'Lake P Results'!AM371", 30300)</f>
        <v>30300</v>
      </c>
      <c r="J1275" s="28">
        <f>HYPERLINK("[P Only with New retention and Differentiation.xlsx]'Lake P Results'!AM371", 30300)</f>
        <v>30300</v>
      </c>
      <c r="K1275" s="16">
        <f>I1275-H1275</f>
        <v>2100</v>
      </c>
      <c r="L1275" s="16">
        <f>J1275-H1275</f>
        <v>2100</v>
      </c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  <c r="BO1275" s="13"/>
    </row>
    <row r="1276" spans="1:67" x14ac:dyDescent="0.55000000000000004">
      <c r="A1276" s="30">
        <v>872</v>
      </c>
      <c r="B1276" s="6" t="s">
        <v>677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  <c r="AO1276" s="18"/>
      <c r="AP1276" s="18"/>
      <c r="AQ1276" s="18"/>
      <c r="AR1276" s="18"/>
      <c r="AS1276" s="18"/>
      <c r="AT1276" s="18"/>
      <c r="AU1276" s="18"/>
      <c r="AV1276" s="18"/>
      <c r="AW1276" s="18"/>
      <c r="AX1276" s="18"/>
      <c r="AY1276" s="18"/>
      <c r="AZ1276" s="18"/>
      <c r="BA1276" s="18"/>
      <c r="BB1276" s="18"/>
      <c r="BC1276" s="18"/>
      <c r="BD1276" s="18"/>
      <c r="BE1276" s="18"/>
      <c r="BF1276" s="18"/>
      <c r="BG1276" s="18"/>
      <c r="BH1276" s="18"/>
      <c r="BI1276" s="18"/>
      <c r="BJ1276" s="18"/>
      <c r="BK1276" s="18"/>
      <c r="BL1276" s="18"/>
      <c r="BM1276" s="18"/>
      <c r="BN1276" s="18"/>
      <c r="BO1276" s="18"/>
    </row>
    <row r="1277" spans="1:67" x14ac:dyDescent="0.55000000000000004">
      <c r="A1277" s="31">
        <v>873</v>
      </c>
      <c r="B1277" s="5" t="s">
        <v>678</v>
      </c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  <c r="BO1277" s="13"/>
    </row>
    <row r="1278" spans="1:67" x14ac:dyDescent="0.55000000000000004">
      <c r="A1278" s="30">
        <v>874</v>
      </c>
      <c r="B1278" s="6" t="s">
        <v>679</v>
      </c>
      <c r="C1278" s="27">
        <f>HYPERLINK("[P Only Old retention.xlsx]'Lake P Results'!AE374", 0.596)</f>
        <v>0.59599999999999997</v>
      </c>
      <c r="D1278" s="27">
        <f>HYPERLINK("[P Only New retention.xlsx]'Lake P Results'!AE374", 0.596)</f>
        <v>0.59599999999999997</v>
      </c>
      <c r="E1278" s="27">
        <f>HYPERLINK("[P Only with New retention and Differentiation.xlsx]'Lake P Results'!AE374", 0.596)</f>
        <v>0.59599999999999997</v>
      </c>
      <c r="F1278" s="18"/>
      <c r="G1278" s="18"/>
      <c r="H1278" s="26">
        <f>HYPERLINK("[P Only Old retention.xlsx]'Lake P Results'!AM374", 400)</f>
        <v>400</v>
      </c>
      <c r="I1278" s="26">
        <f>HYPERLINK("[P Only New retention.xlsx]'Lake P Results'!AM374", 400)</f>
        <v>400</v>
      </c>
      <c r="J1278" s="26">
        <f>HYPERLINK("[P Only with New retention and Differentiation.xlsx]'Lake P Results'!AM374", 400)</f>
        <v>400</v>
      </c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/>
      <c r="AP1278" s="18"/>
      <c r="AQ1278" s="18"/>
      <c r="AR1278" s="18"/>
      <c r="AS1278" s="18"/>
      <c r="AT1278" s="18"/>
      <c r="AU1278" s="18"/>
      <c r="AV1278" s="18"/>
      <c r="AW1278" s="18"/>
      <c r="AX1278" s="18"/>
      <c r="AY1278" s="18"/>
      <c r="AZ1278" s="18"/>
      <c r="BA1278" s="18"/>
      <c r="BB1278" s="18"/>
      <c r="BC1278" s="18"/>
      <c r="BD1278" s="18"/>
      <c r="BE1278" s="18"/>
      <c r="BF1278" s="18"/>
      <c r="BG1278" s="18"/>
      <c r="BH1278" s="18"/>
      <c r="BI1278" s="18"/>
      <c r="BJ1278" s="18"/>
      <c r="BK1278" s="18"/>
      <c r="BL1278" s="18"/>
      <c r="BM1278" s="18"/>
      <c r="BN1278" s="18"/>
      <c r="BO1278" s="18"/>
    </row>
    <row r="1279" spans="1:67" x14ac:dyDescent="0.55000000000000004">
      <c r="A1279" s="31">
        <v>875</v>
      </c>
      <c r="B1279" s="5" t="s">
        <v>680</v>
      </c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  <c r="BO1279" s="13"/>
    </row>
    <row r="1280" spans="1:67" x14ac:dyDescent="0.55000000000000004">
      <c r="A1280" s="30">
        <v>878</v>
      </c>
      <c r="B1280" s="6" t="s">
        <v>681</v>
      </c>
      <c r="C1280" s="18"/>
      <c r="D1280" s="18"/>
      <c r="E1280" s="18"/>
      <c r="F1280" s="18"/>
      <c r="G1280" s="18"/>
      <c r="H1280" s="26">
        <f>HYPERLINK("[P Only Old retention.xlsx]'Lake P Results'!AM376", 200)</f>
        <v>200</v>
      </c>
      <c r="I1280" s="26">
        <f>HYPERLINK("[P Only New retention.xlsx]'Lake P Results'!AM376", 200)</f>
        <v>200</v>
      </c>
      <c r="J1280" s="26">
        <f>HYPERLINK("[P Only with New retention and Differentiation.xlsx]'Lake P Results'!AM376", 200)</f>
        <v>200</v>
      </c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/>
      <c r="AS1280" s="18"/>
      <c r="AT1280" s="18"/>
      <c r="AU1280" s="18"/>
      <c r="AV1280" s="18"/>
      <c r="AW1280" s="18"/>
      <c r="AX1280" s="18"/>
      <c r="AY1280" s="18"/>
      <c r="AZ1280" s="18"/>
      <c r="BA1280" s="18"/>
      <c r="BB1280" s="18"/>
      <c r="BC1280" s="18"/>
      <c r="BD1280" s="18"/>
      <c r="BE1280" s="18"/>
      <c r="BF1280" s="18"/>
      <c r="BG1280" s="18"/>
      <c r="BH1280" s="18"/>
      <c r="BI1280" s="18"/>
      <c r="BJ1280" s="18"/>
      <c r="BK1280" s="18"/>
      <c r="BL1280" s="18"/>
      <c r="BM1280" s="18"/>
      <c r="BN1280" s="18"/>
      <c r="BO1280" s="18"/>
    </row>
    <row r="1281" spans="1:67" x14ac:dyDescent="0.55000000000000004">
      <c r="A1281" s="31">
        <v>882</v>
      </c>
      <c r="B1281" s="5" t="s">
        <v>682</v>
      </c>
      <c r="C1281" s="29">
        <f>HYPERLINK("[P Only Old retention.xlsx]'Lake P Results'!AE377", 3.31999999999999)</f>
        <v>3.3199999999999901</v>
      </c>
      <c r="D1281" s="29">
        <f>HYPERLINK("[P Only New retention.xlsx]'Lake P Results'!AE377", 3.31999999999999)</f>
        <v>3.3199999999999901</v>
      </c>
      <c r="E1281" s="29">
        <f>HYPERLINK("[P Only with New retention and Differentiation.xlsx]'Lake P Results'!AE377", 3.31999999999999)</f>
        <v>3.3199999999999901</v>
      </c>
      <c r="F1281" s="13"/>
      <c r="G1281" s="13"/>
      <c r="H1281" s="28">
        <f>HYPERLINK("[P Only Old retention.xlsx]'Lake P Results'!AM377", 1700)</f>
        <v>1700</v>
      </c>
      <c r="I1281" s="28">
        <f>HYPERLINK("[P Only New retention.xlsx]'Lake P Results'!AM377", 1900)</f>
        <v>1900</v>
      </c>
      <c r="J1281" s="28">
        <f>HYPERLINK("[P Only with New retention and Differentiation.xlsx]'Lake P Results'!AM377", 1900)</f>
        <v>1900</v>
      </c>
      <c r="K1281" s="16">
        <f>I1281-H1281</f>
        <v>200</v>
      </c>
      <c r="L1281" s="16">
        <f>J1281-H1281</f>
        <v>200</v>
      </c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  <c r="BO1281" s="13"/>
    </row>
    <row r="1282" spans="1:67" x14ac:dyDescent="0.55000000000000004">
      <c r="A1282" s="30">
        <v>883</v>
      </c>
      <c r="B1282" s="6" t="s">
        <v>683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  <c r="AO1282" s="18"/>
      <c r="AP1282" s="18"/>
      <c r="AQ1282" s="18"/>
      <c r="AR1282" s="18"/>
      <c r="AS1282" s="18"/>
      <c r="AT1282" s="18"/>
      <c r="AU1282" s="18"/>
      <c r="AV1282" s="18"/>
      <c r="AW1282" s="18"/>
      <c r="AX1282" s="18"/>
      <c r="AY1282" s="18"/>
      <c r="AZ1282" s="18"/>
      <c r="BA1282" s="18"/>
      <c r="BB1282" s="18"/>
      <c r="BC1282" s="18"/>
      <c r="BD1282" s="18"/>
      <c r="BE1282" s="18"/>
      <c r="BF1282" s="18"/>
      <c r="BG1282" s="18"/>
      <c r="BH1282" s="18"/>
      <c r="BI1282" s="18"/>
      <c r="BJ1282" s="18"/>
      <c r="BK1282" s="18"/>
      <c r="BL1282" s="18"/>
      <c r="BM1282" s="18"/>
      <c r="BN1282" s="18"/>
      <c r="BO1282" s="18"/>
    </row>
    <row r="1283" spans="1:67" x14ac:dyDescent="0.55000000000000004">
      <c r="A1283" s="31">
        <v>884</v>
      </c>
      <c r="B1283" s="5" t="s">
        <v>684</v>
      </c>
      <c r="C1283" s="13"/>
      <c r="D1283" s="13"/>
      <c r="E1283" s="13"/>
      <c r="F1283" s="13"/>
      <c r="G1283" s="13"/>
      <c r="H1283" s="28">
        <f>HYPERLINK("[P Only Old retention.xlsx]'Lake P Results'!AM379", 300)</f>
        <v>300</v>
      </c>
      <c r="I1283" s="28">
        <f>HYPERLINK("[P Only New retention.xlsx]'Lake P Results'!AM379", 300)</f>
        <v>300</v>
      </c>
      <c r="J1283" s="28">
        <f>HYPERLINK("[P Only with New retention and Differentiation.xlsx]'Lake P Results'!AM379", 300)</f>
        <v>300</v>
      </c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  <c r="AZ1283" s="13"/>
      <c r="BA1283" s="13"/>
      <c r="BB1283" s="13"/>
      <c r="BC1283" s="13"/>
      <c r="BD1283" s="13"/>
      <c r="BE1283" s="13"/>
      <c r="BF1283" s="13"/>
      <c r="BG1283" s="13"/>
      <c r="BH1283" s="13"/>
      <c r="BI1283" s="13"/>
      <c r="BJ1283" s="13"/>
      <c r="BK1283" s="13"/>
      <c r="BL1283" s="13"/>
      <c r="BM1283" s="13"/>
      <c r="BN1283" s="13"/>
      <c r="BO1283" s="13"/>
    </row>
    <row r="1284" spans="1:67" x14ac:dyDescent="0.55000000000000004">
      <c r="A1284" s="30">
        <v>887</v>
      </c>
      <c r="B1284" s="6" t="s">
        <v>685</v>
      </c>
      <c r="C1284" s="18"/>
      <c r="D1284" s="18"/>
      <c r="E1284" s="18"/>
      <c r="F1284" s="18"/>
      <c r="G1284" s="18"/>
      <c r="H1284" s="26">
        <f>HYPERLINK("[P Only Old retention.xlsx]'Lake P Results'!AM380", 200)</f>
        <v>200</v>
      </c>
      <c r="I1284" s="26">
        <f>HYPERLINK("[P Only New retention.xlsx]'Lake P Results'!AM380", 200)</f>
        <v>200</v>
      </c>
      <c r="J1284" s="26">
        <f>HYPERLINK("[P Only with New retention and Differentiation.xlsx]'Lake P Results'!AM380", 200)</f>
        <v>200</v>
      </c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  <c r="AO1284" s="18"/>
      <c r="AP1284" s="18"/>
      <c r="AQ1284" s="18"/>
      <c r="AR1284" s="18"/>
      <c r="AS1284" s="18"/>
      <c r="AT1284" s="18"/>
      <c r="AU1284" s="18"/>
      <c r="AV1284" s="18"/>
      <c r="AW1284" s="18"/>
      <c r="AX1284" s="18"/>
      <c r="AY1284" s="18"/>
      <c r="AZ1284" s="18"/>
      <c r="BA1284" s="18"/>
      <c r="BB1284" s="18"/>
      <c r="BC1284" s="18"/>
      <c r="BD1284" s="18"/>
      <c r="BE1284" s="18"/>
      <c r="BF1284" s="18"/>
      <c r="BG1284" s="18"/>
      <c r="BH1284" s="18"/>
      <c r="BI1284" s="18"/>
      <c r="BJ1284" s="18"/>
      <c r="BK1284" s="18"/>
      <c r="BL1284" s="18"/>
      <c r="BM1284" s="18"/>
      <c r="BN1284" s="18"/>
      <c r="BO1284" s="18"/>
    </row>
    <row r="1285" spans="1:67" x14ac:dyDescent="0.55000000000000004">
      <c r="A1285" s="31">
        <v>888</v>
      </c>
      <c r="B1285" s="5" t="s">
        <v>686</v>
      </c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  <c r="AQ1285" s="13"/>
      <c r="AR1285" s="13"/>
      <c r="AS1285" s="13"/>
      <c r="AT1285" s="13"/>
      <c r="AU1285" s="13"/>
      <c r="AV1285" s="29">
        <f>HYPERLINK("[P Only Old retention.xlsx]'Lake P Results'!M381", 0.87)</f>
        <v>0.87</v>
      </c>
      <c r="AW1285" s="29">
        <f>HYPERLINK("[P Only New retention.xlsx]'Lake P Results'!M381", 0.87)</f>
        <v>0.87</v>
      </c>
      <c r="AX1285" s="13"/>
      <c r="AY1285" s="13"/>
      <c r="AZ1285" s="47">
        <f>AX1285-AV1285</f>
        <v>-0.87</v>
      </c>
      <c r="BA1285" s="13"/>
      <c r="BB1285" s="13"/>
      <c r="BC1285" s="29">
        <f>HYPERLINK("[P Only with New retention and Differentiation.xlsx]'Lake P Results'!O381", 0.87)</f>
        <v>0.87</v>
      </c>
      <c r="BD1285" s="13"/>
      <c r="BE1285" s="46">
        <f>BC1285-BA1285</f>
        <v>0.87</v>
      </c>
      <c r="BF1285" s="13"/>
      <c r="BG1285" s="13"/>
      <c r="BH1285" s="13"/>
      <c r="BI1285" s="13"/>
      <c r="BJ1285" s="13"/>
      <c r="BK1285" s="13"/>
      <c r="BL1285" s="13"/>
      <c r="BM1285" s="13"/>
      <c r="BN1285" s="13"/>
      <c r="BO1285" s="13"/>
    </row>
    <row r="1286" spans="1:67" x14ac:dyDescent="0.55000000000000004">
      <c r="A1286" s="30">
        <v>889</v>
      </c>
      <c r="B1286" s="6" t="s">
        <v>687</v>
      </c>
      <c r="C1286" s="18"/>
      <c r="D1286" s="18"/>
      <c r="E1286" s="18"/>
      <c r="F1286" s="18"/>
      <c r="G1286" s="18"/>
      <c r="H1286" s="26">
        <f>HYPERLINK("[P Only Old retention.xlsx]'Lake P Results'!AM382", 13400)</f>
        <v>13400</v>
      </c>
      <c r="I1286" s="26">
        <f>HYPERLINK("[P Only New retention.xlsx]'Lake P Results'!AM382", 13400)</f>
        <v>13400</v>
      </c>
      <c r="J1286" s="26">
        <f>HYPERLINK("[P Only with New retention and Differentiation.xlsx]'Lake P Results'!AM382", 13400)</f>
        <v>13400</v>
      </c>
      <c r="K1286" s="18"/>
      <c r="L1286" s="18"/>
      <c r="M1286" s="27">
        <f>HYPERLINK("[P Only Old retention.xlsx]'Lake P Results'!AC382", 3.61)</f>
        <v>3.61</v>
      </c>
      <c r="N1286" s="27">
        <f>HYPERLINK("[P Only New retention.xlsx]'Lake P Results'!AC382", 3.19)</f>
        <v>3.19</v>
      </c>
      <c r="O1286" s="27">
        <f>HYPERLINK("[P Only with New retention and Differentiation.xlsx]'Lake P Results'!AC382", 4.852)</f>
        <v>4.8520000000000003</v>
      </c>
      <c r="P1286" s="47">
        <f>N1286-M1286</f>
        <v>-0.41999999999999993</v>
      </c>
      <c r="Q1286" s="46">
        <f>O1286-M1286</f>
        <v>1.2420000000000004</v>
      </c>
      <c r="R1286" s="27">
        <f>HYPERLINK("[P Only Old retention.xlsx]'Lake P Results'!Y382", 3.352)</f>
        <v>3.3519999999999999</v>
      </c>
      <c r="S1286" s="27">
        <f>HYPERLINK("[P Only New retention.xlsx]'Lake P Results'!Y382", 0.662)</f>
        <v>0.66200000000000003</v>
      </c>
      <c r="T1286" s="27">
        <f>HYPERLINK("[P Only with New retention and Differentiation.xlsx]'Lake P Results'!Y382", 0.83)</f>
        <v>0.83</v>
      </c>
      <c r="U1286" s="47">
        <f>S1286-R1286</f>
        <v>-2.69</v>
      </c>
      <c r="V1286" s="47">
        <f>T1286-R1286</f>
        <v>-2.5219999999999998</v>
      </c>
      <c r="W1286" s="27">
        <f>HYPERLINK("[P Only Old retention.xlsx]'Lake P Results'!V382", 37.66)</f>
        <v>37.659999999999997</v>
      </c>
      <c r="X1286" s="27">
        <f>HYPERLINK("[P Only New retention.xlsx]'Lake P Results'!V382", 37.66)</f>
        <v>37.659999999999997</v>
      </c>
      <c r="Y1286" s="27">
        <f>HYPERLINK("[P Only with New retention and Differentiation.xlsx]'Lake P Results'!V382", 37.66)</f>
        <v>37.659999999999997</v>
      </c>
      <c r="Z1286" s="18"/>
      <c r="AA1286" s="18"/>
      <c r="AB1286" s="27">
        <f>HYPERLINK("[P Only Old retention.xlsx]'Lake P Results'!Z382", 11.42)</f>
        <v>11.42</v>
      </c>
      <c r="AC1286" s="27">
        <f>HYPERLINK("[P Only New retention.xlsx]'Lake P Results'!Z382", 14.53)</f>
        <v>14.53</v>
      </c>
      <c r="AD1286" s="27">
        <f>HYPERLINK("[P Only with New retention and Differentiation.xlsx]'Lake P Results'!Z382", 12.7)</f>
        <v>12.7</v>
      </c>
      <c r="AE1286" s="46">
        <f>AC1286-AB1286</f>
        <v>3.1099999999999994</v>
      </c>
      <c r="AF1286" s="46">
        <f>AD1286-AB1286</f>
        <v>1.2799999999999994</v>
      </c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26">
        <f>HYPERLINK("[P Only Old retention.xlsx]'Lake P Results'!AH382", 130)</f>
        <v>130</v>
      </c>
      <c r="AR1286" s="26">
        <f>HYPERLINK("[P Only New retention.xlsx]'Lake P Results'!AH382", 130)</f>
        <v>130</v>
      </c>
      <c r="AS1286" s="26">
        <f>HYPERLINK("[P Only with New retention and Differentiation.xlsx]'Lake P Results'!AH382", 130)</f>
        <v>130</v>
      </c>
      <c r="AT1286" s="18"/>
      <c r="AU1286" s="18"/>
      <c r="AV1286" s="18"/>
      <c r="AW1286" s="18"/>
      <c r="AX1286" s="18"/>
      <c r="AY1286" s="18"/>
      <c r="AZ1286" s="18"/>
      <c r="BA1286" s="27">
        <f>HYPERLINK("[P Only Old retention.xlsx]'Lake P Results'!O382", 152.232)</f>
        <v>152.232</v>
      </c>
      <c r="BB1286" s="27">
        <f>HYPERLINK("[P Only New retention.xlsx]'Lake P Results'!O382", 152.232)</f>
        <v>152.232</v>
      </c>
      <c r="BC1286" s="27">
        <f>HYPERLINK("[P Only with New retention and Differentiation.xlsx]'Lake P Results'!O382", 152.232)</f>
        <v>152.232</v>
      </c>
      <c r="BD1286" s="18"/>
      <c r="BE1286" s="18"/>
      <c r="BF1286" s="18"/>
      <c r="BG1286" s="18"/>
      <c r="BH1286" s="18"/>
      <c r="BI1286" s="18"/>
      <c r="BJ1286" s="18"/>
      <c r="BK1286" s="18"/>
      <c r="BL1286" s="18"/>
      <c r="BM1286" s="18"/>
      <c r="BN1286" s="18"/>
      <c r="BO1286" s="18"/>
    </row>
    <row r="1287" spans="1:67" x14ac:dyDescent="0.55000000000000004">
      <c r="A1287" s="31">
        <v>893</v>
      </c>
      <c r="B1287" s="5" t="s">
        <v>688</v>
      </c>
      <c r="C1287" s="13"/>
      <c r="D1287" s="13"/>
      <c r="E1287" s="13"/>
      <c r="F1287" s="13"/>
      <c r="G1287" s="13"/>
      <c r="H1287" s="28">
        <f>HYPERLINK("[P Only Old retention.xlsx]'Lake P Results'!AM383", 1100)</f>
        <v>1100</v>
      </c>
      <c r="I1287" s="28">
        <f>HYPERLINK("[P Only New retention.xlsx]'Lake P Results'!AM383", 1100)</f>
        <v>1100</v>
      </c>
      <c r="J1287" s="28">
        <f>HYPERLINK("[P Only with New retention and Differentiation.xlsx]'Lake P Results'!AM383", 1100)</f>
        <v>1100</v>
      </c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  <c r="AZ1287" s="13"/>
      <c r="BA1287" s="29">
        <f>HYPERLINK("[P Only Old retention.xlsx]'Lake P Results'!O383", 12.22)</f>
        <v>12.22</v>
      </c>
      <c r="BB1287" s="29">
        <f>HYPERLINK("[P Only New retention.xlsx]'Lake P Results'!O383", 12.22)</f>
        <v>12.22</v>
      </c>
      <c r="BC1287" s="29">
        <f>HYPERLINK("[P Only with New retention and Differentiation.xlsx]'Lake P Results'!O383", 12.22)</f>
        <v>12.22</v>
      </c>
      <c r="BD1287" s="13"/>
      <c r="BE1287" s="13"/>
      <c r="BF1287" s="13"/>
      <c r="BG1287" s="13"/>
      <c r="BH1287" s="13"/>
      <c r="BI1287" s="13"/>
      <c r="BJ1287" s="13"/>
      <c r="BK1287" s="13"/>
      <c r="BL1287" s="13"/>
      <c r="BM1287" s="13"/>
      <c r="BN1287" s="13"/>
      <c r="BO1287" s="13"/>
    </row>
    <row r="1288" spans="1:67" x14ac:dyDescent="0.55000000000000004">
      <c r="A1288" s="30">
        <v>896</v>
      </c>
      <c r="B1288" s="6"/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  <c r="AV1288" s="18"/>
      <c r="AW1288" s="18"/>
      <c r="AX1288" s="18"/>
      <c r="AY1288" s="18"/>
      <c r="AZ1288" s="18"/>
      <c r="BA1288" s="18"/>
      <c r="BB1288" s="18"/>
      <c r="BC1288" s="18"/>
      <c r="BD1288" s="18"/>
      <c r="BE1288" s="18"/>
      <c r="BF1288" s="18"/>
      <c r="BG1288" s="18"/>
      <c r="BH1288" s="18"/>
      <c r="BI1288" s="18"/>
      <c r="BJ1288" s="18"/>
      <c r="BK1288" s="18"/>
      <c r="BL1288" s="18"/>
      <c r="BM1288" s="18"/>
      <c r="BN1288" s="18"/>
      <c r="BO1288" s="18"/>
    </row>
    <row r="1289" spans="1:67" x14ac:dyDescent="0.55000000000000004">
      <c r="A1289" s="31">
        <v>899</v>
      </c>
      <c r="B1289" s="5" t="s">
        <v>689</v>
      </c>
      <c r="C1289" s="29">
        <f>HYPERLINK("[P Only Old retention.xlsx]'Lake P Results'!AE385", 0.670000000000001)</f>
        <v>0.67000000000000104</v>
      </c>
      <c r="D1289" s="29">
        <f>HYPERLINK("[P Only New retention.xlsx]'Lake P Results'!AE385", 0.650000000000001)</f>
        <v>0.65000000000000102</v>
      </c>
      <c r="E1289" s="29">
        <f>HYPERLINK("[P Only with New retention and Differentiation.xlsx]'Lake P Results'!AE385", 0.670000000000001)</f>
        <v>0.67000000000000104</v>
      </c>
      <c r="F1289" s="47">
        <f>D1289-C1289</f>
        <v>-2.0000000000000018E-2</v>
      </c>
      <c r="G1289" s="13"/>
      <c r="H1289" s="28">
        <f>HYPERLINK("[P Only Old retention.xlsx]'Lake P Results'!AM385", 4400)</f>
        <v>4400</v>
      </c>
      <c r="I1289" s="28">
        <f>HYPERLINK("[P Only New retention.xlsx]'Lake P Results'!AM385", 4600)</f>
        <v>4600</v>
      </c>
      <c r="J1289" s="28">
        <f>HYPERLINK("[P Only with New retention and Differentiation.xlsx]'Lake P Results'!AM385", 4500)</f>
        <v>4500</v>
      </c>
      <c r="K1289" s="16">
        <f>I1289-H1289</f>
        <v>200</v>
      </c>
      <c r="L1289" s="16">
        <f>J1289-H1289</f>
        <v>100</v>
      </c>
      <c r="M1289" s="29">
        <f>HYPERLINK("[P Only Old retention.xlsx]'Lake P Results'!AC385", 118.944)</f>
        <v>118.944</v>
      </c>
      <c r="N1289" s="29">
        <f>HYPERLINK("[P Only New retention.xlsx]'Lake P Results'!AC385", 81.5)</f>
        <v>81.5</v>
      </c>
      <c r="O1289" s="29">
        <f>HYPERLINK("[P Only with New retention and Differentiation.xlsx]'Lake P Results'!AC385", 120.22)</f>
        <v>120.22</v>
      </c>
      <c r="P1289" s="47">
        <f>N1289-M1289</f>
        <v>-37.444000000000003</v>
      </c>
      <c r="Q1289" s="46">
        <f>O1289-M1289</f>
        <v>1.2759999999999962</v>
      </c>
      <c r="R1289" s="29">
        <f>HYPERLINK("[P Only Old retention.xlsx]'Lake P Results'!Y385", 26.77)</f>
        <v>26.77</v>
      </c>
      <c r="S1289" s="29">
        <f>HYPERLINK("[P Only New retention.xlsx]'Lake P Results'!Y385", 24.76)</f>
        <v>24.76</v>
      </c>
      <c r="T1289" s="29">
        <f>HYPERLINK("[P Only with New retention and Differentiation.xlsx]'Lake P Results'!Y385", 15.55)</f>
        <v>15.55</v>
      </c>
      <c r="U1289" s="47">
        <f>S1289-R1289</f>
        <v>-2.009999999999998</v>
      </c>
      <c r="V1289" s="47">
        <f>T1289-R1289</f>
        <v>-11.219999999999999</v>
      </c>
      <c r="W1289" s="29">
        <f>HYPERLINK("[P Only Old retention.xlsx]'Lake P Results'!V385", 20.59)</f>
        <v>20.59</v>
      </c>
      <c r="X1289" s="29">
        <f>HYPERLINK("[P Only New retention.xlsx]'Lake P Results'!V385", 88.094)</f>
        <v>88.093999999999994</v>
      </c>
      <c r="Y1289" s="29">
        <f>HYPERLINK("[P Only with New retention and Differentiation.xlsx]'Lake P Results'!V385", 36.094)</f>
        <v>36.094000000000001</v>
      </c>
      <c r="Z1289" s="46">
        <f>X1289-W1289</f>
        <v>67.503999999999991</v>
      </c>
      <c r="AA1289" s="46">
        <f>Y1289-W1289</f>
        <v>15.504000000000001</v>
      </c>
      <c r="AB1289" s="29">
        <f>HYPERLINK("[P Only Old retention.xlsx]'Lake P Results'!Z385", 5.52)</f>
        <v>5.52</v>
      </c>
      <c r="AC1289" s="29">
        <f>HYPERLINK("[P Only New retention.xlsx]'Lake P Results'!Z385", 18.12)</f>
        <v>18.12</v>
      </c>
      <c r="AD1289" s="29">
        <f>HYPERLINK("[P Only with New retention and Differentiation.xlsx]'Lake P Results'!Z385", 14.64)</f>
        <v>14.64</v>
      </c>
      <c r="AE1289" s="46">
        <f>AC1289-AB1289</f>
        <v>12.600000000000001</v>
      </c>
      <c r="AF1289" s="46">
        <f>AD1289-AB1289</f>
        <v>9.120000000000001</v>
      </c>
      <c r="AG1289" s="29">
        <f>HYPERLINK("[P Only Old retention.xlsx]'Lake P Results'!AA385", 12.58)</f>
        <v>12.58</v>
      </c>
      <c r="AH1289" s="29">
        <f>HYPERLINK("[P Only New retention.xlsx]'Lake P Results'!AA385", 5.43)</f>
        <v>5.43</v>
      </c>
      <c r="AI1289" s="29">
        <f>HYPERLINK("[P Only with New retention and Differentiation.xlsx]'Lake P Results'!AA385", 6.126)</f>
        <v>6.1260000000000003</v>
      </c>
      <c r="AJ1289" s="47">
        <f>AH1289-AG1289</f>
        <v>-7.15</v>
      </c>
      <c r="AK1289" s="47">
        <f>AI1289-AG1289</f>
        <v>-6.4539999999999997</v>
      </c>
      <c r="AL1289" s="13"/>
      <c r="AM1289" s="13"/>
      <c r="AN1289" s="13"/>
      <c r="AO1289" s="13"/>
      <c r="AP1289" s="13"/>
      <c r="AQ1289" s="28">
        <f>HYPERLINK("[P Only Old retention.xlsx]'Lake P Results'!AH385", 250)</f>
        <v>250</v>
      </c>
      <c r="AR1289" s="28">
        <f>HYPERLINK("[P Only New retention.xlsx]'Lake P Results'!AH385", 250)</f>
        <v>250</v>
      </c>
      <c r="AS1289" s="28">
        <f>HYPERLINK("[P Only with New retention and Differentiation.xlsx]'Lake P Results'!AH385", 250)</f>
        <v>250</v>
      </c>
      <c r="AT1289" s="13"/>
      <c r="AU1289" s="13"/>
      <c r="AV1289" s="13"/>
      <c r="AW1289" s="13"/>
      <c r="AX1289" s="13"/>
      <c r="AY1289" s="13"/>
      <c r="AZ1289" s="13"/>
      <c r="BA1289" s="29">
        <f>HYPERLINK("[P Only Old retention.xlsx]'Lake P Results'!O385", 10.2)</f>
        <v>10.199999999999999</v>
      </c>
      <c r="BB1289" s="13"/>
      <c r="BC1289" s="29">
        <f>HYPERLINK("[P Only with New retention and Differentiation.xlsx]'Lake P Results'!O385", 10.2)</f>
        <v>10.199999999999999</v>
      </c>
      <c r="BD1289" s="47">
        <f>BB1289-BA1289</f>
        <v>-10.199999999999999</v>
      </c>
      <c r="BE1289" s="13"/>
      <c r="BF1289" s="13"/>
      <c r="BG1289" s="13"/>
      <c r="BH1289" s="13"/>
      <c r="BI1289" s="13"/>
      <c r="BJ1289" s="13"/>
      <c r="BK1289" s="13"/>
      <c r="BL1289" s="13"/>
      <c r="BM1289" s="13"/>
      <c r="BN1289" s="13"/>
      <c r="BO1289" s="13"/>
    </row>
    <row r="1290" spans="1:67" x14ac:dyDescent="0.55000000000000004">
      <c r="A1290" s="30">
        <v>904</v>
      </c>
      <c r="B1290" s="6" t="s">
        <v>690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  <c r="AO1290" s="18"/>
      <c r="AP1290" s="18"/>
      <c r="AQ1290" s="18"/>
      <c r="AR1290" s="18"/>
      <c r="AS1290" s="18"/>
      <c r="AT1290" s="18"/>
      <c r="AU1290" s="18"/>
      <c r="AV1290" s="18"/>
      <c r="AW1290" s="18"/>
      <c r="AX1290" s="18"/>
      <c r="AY1290" s="18"/>
      <c r="AZ1290" s="18"/>
      <c r="BA1290" s="18"/>
      <c r="BB1290" s="18"/>
      <c r="BC1290" s="18"/>
      <c r="BD1290" s="18"/>
      <c r="BE1290" s="18"/>
      <c r="BF1290" s="18"/>
      <c r="BG1290" s="18"/>
      <c r="BH1290" s="18"/>
      <c r="BI1290" s="18"/>
      <c r="BJ1290" s="18"/>
      <c r="BK1290" s="18"/>
      <c r="BL1290" s="18"/>
      <c r="BM1290" s="18"/>
      <c r="BN1290" s="18"/>
      <c r="BO1290" s="18"/>
    </row>
    <row r="1291" spans="1:67" x14ac:dyDescent="0.55000000000000004">
      <c r="A1291" s="31">
        <v>907</v>
      </c>
      <c r="B1291" s="5" t="s">
        <v>691</v>
      </c>
      <c r="C1291" s="29">
        <f>HYPERLINK("[P Only Old retention.xlsx]'Lake P Results'!AE387", 0.0260000000000001)</f>
        <v>2.6000000000000099E-2</v>
      </c>
      <c r="D1291" s="29">
        <f>HYPERLINK("[P Only New retention.xlsx]'Lake P Results'!AE387", 0.0260000000000001)</f>
        <v>2.6000000000000099E-2</v>
      </c>
      <c r="E1291" s="29">
        <f>HYPERLINK("[P Only with New retention and Differentiation.xlsx]'Lake P Results'!AE387", 0.0260000000000001)</f>
        <v>2.6000000000000099E-2</v>
      </c>
      <c r="F1291" s="13"/>
      <c r="G1291" s="13"/>
      <c r="H1291" s="28">
        <f>HYPERLINK("[P Only Old retention.xlsx]'Lake P Results'!AM387", 29600)</f>
        <v>29600</v>
      </c>
      <c r="I1291" s="28">
        <f>HYPERLINK("[P Only New retention.xlsx]'Lake P Results'!AM387", 29600)</f>
        <v>29600</v>
      </c>
      <c r="J1291" s="28">
        <f>HYPERLINK("[P Only with New retention and Differentiation.xlsx]'Lake P Results'!AM387", 29600)</f>
        <v>29600</v>
      </c>
      <c r="K1291" s="13"/>
      <c r="L1291" s="13"/>
      <c r="M1291" s="29">
        <f>HYPERLINK("[P Only Old retention.xlsx]'Lake P Results'!AC387", 3.87)</f>
        <v>3.87</v>
      </c>
      <c r="N1291" s="29">
        <f>HYPERLINK("[P Only New retention.xlsx]'Lake P Results'!AC387", 0.36)</f>
        <v>0.36</v>
      </c>
      <c r="O1291" s="29">
        <f>HYPERLINK("[P Only with New retention and Differentiation.xlsx]'Lake P Results'!AC387", 3.87)</f>
        <v>3.87</v>
      </c>
      <c r="P1291" s="47">
        <f>N1291-M1291</f>
        <v>-3.5100000000000002</v>
      </c>
      <c r="Q1291" s="13"/>
      <c r="R1291" s="29">
        <f>HYPERLINK("[P Only Old retention.xlsx]'Lake P Results'!Y387", 0.73)</f>
        <v>0.73</v>
      </c>
      <c r="S1291" s="29">
        <f>HYPERLINK("[P Only New retention.xlsx]'Lake P Results'!Y387", 3.84)</f>
        <v>3.84</v>
      </c>
      <c r="T1291" s="29">
        <f>HYPERLINK("[P Only with New retention and Differentiation.xlsx]'Lake P Results'!Y387", 0.36)</f>
        <v>0.36</v>
      </c>
      <c r="U1291" s="46">
        <f>S1291-R1291</f>
        <v>3.11</v>
      </c>
      <c r="V1291" s="47">
        <f>T1291-R1291</f>
        <v>-0.37</v>
      </c>
      <c r="W1291" s="29">
        <f>HYPERLINK("[P Only Old retention.xlsx]'Lake P Results'!V387", 33.78)</f>
        <v>33.78</v>
      </c>
      <c r="X1291" s="29">
        <f>HYPERLINK("[P Only New retention.xlsx]'Lake P Results'!V387", 33.78)</f>
        <v>33.78</v>
      </c>
      <c r="Y1291" s="29">
        <f>HYPERLINK("[P Only with New retention and Differentiation.xlsx]'Lake P Results'!V387", 33.78)</f>
        <v>33.78</v>
      </c>
      <c r="Z1291" s="13"/>
      <c r="AA1291" s="13"/>
      <c r="AB1291" s="13"/>
      <c r="AC1291" s="29">
        <f>HYPERLINK("[P Only New retention.xlsx]'Lake P Results'!Z387", 0.4)</f>
        <v>0.4</v>
      </c>
      <c r="AD1291" s="29">
        <f>HYPERLINK("[P Only with New retention and Differentiation.xlsx]'Lake P Results'!Z387", 0.37)</f>
        <v>0.37</v>
      </c>
      <c r="AE1291" s="46">
        <f>AC1291-AB1291</f>
        <v>0.4</v>
      </c>
      <c r="AF1291" s="46">
        <f>AD1291-AB1291</f>
        <v>0.37</v>
      </c>
      <c r="AG1291" s="13"/>
      <c r="AH1291" s="13"/>
      <c r="AI1291" s="13"/>
      <c r="AJ1291" s="13"/>
      <c r="AK1291" s="13"/>
      <c r="AL1291" s="29">
        <f>HYPERLINK("[P Only Old retention.xlsx]'Lake P Results'!AF387", 0.0799999999999999)</f>
        <v>7.9999999999999905E-2</v>
      </c>
      <c r="AM1291" s="29">
        <f>HYPERLINK("[P Only New retention.xlsx]'Lake P Results'!AF387", 0.0799999999999999)</f>
        <v>7.9999999999999905E-2</v>
      </c>
      <c r="AN1291" s="29">
        <f>HYPERLINK("[P Only with New retention and Differentiation.xlsx]'Lake P Results'!AF387", 0.0799999999999999)</f>
        <v>7.9999999999999905E-2</v>
      </c>
      <c r="AO1291" s="13"/>
      <c r="AP1291" s="13"/>
      <c r="AQ1291" s="28">
        <f>HYPERLINK("[P Only Old retention.xlsx]'Lake P Results'!AH387", 279.999999999958)</f>
        <v>279.99999999995799</v>
      </c>
      <c r="AR1291" s="28">
        <f>HYPERLINK("[P Only New retention.xlsx]'Lake P Results'!AH387", 279.999999999958)</f>
        <v>279.99999999995799</v>
      </c>
      <c r="AS1291" s="28">
        <f>HYPERLINK("[P Only with New retention and Differentiation.xlsx]'Lake P Results'!AH387", 279.999999999958)</f>
        <v>279.99999999995799</v>
      </c>
      <c r="AT1291" s="13"/>
      <c r="AU1291" s="13"/>
      <c r="AV1291" s="13"/>
      <c r="AW1291" s="13"/>
      <c r="AX1291" s="13"/>
      <c r="AY1291" s="13"/>
      <c r="AZ1291" s="13"/>
      <c r="BA1291" s="29">
        <f>HYPERLINK("[P Only Old retention.xlsx]'Lake P Results'!O387", 270.334)</f>
        <v>270.334</v>
      </c>
      <c r="BB1291" s="29">
        <f>HYPERLINK("[P Only New retention.xlsx]'Lake P Results'!O387", 270.334)</f>
        <v>270.334</v>
      </c>
      <c r="BC1291" s="29">
        <f>HYPERLINK("[P Only with New retention and Differentiation.xlsx]'Lake P Results'!O387", 270.334)</f>
        <v>270.334</v>
      </c>
      <c r="BD1291" s="13"/>
      <c r="BE1291" s="13"/>
      <c r="BF1291" s="13"/>
      <c r="BG1291" s="13"/>
      <c r="BH1291" s="13"/>
      <c r="BI1291" s="13"/>
      <c r="BJ1291" s="13"/>
      <c r="BK1291" s="13"/>
      <c r="BL1291" s="13"/>
      <c r="BM1291" s="13"/>
      <c r="BN1291" s="13"/>
      <c r="BO1291" s="13"/>
    </row>
    <row r="1292" spans="1:67" x14ac:dyDescent="0.55000000000000004">
      <c r="A1292" s="30">
        <v>908</v>
      </c>
      <c r="B1292" s="6" t="s">
        <v>692</v>
      </c>
      <c r="C1292" s="27">
        <f>HYPERLINK("[P Only Old retention.xlsx]'Lake P Results'!AE388", 127.106)</f>
        <v>127.10599999999999</v>
      </c>
      <c r="D1292" s="27">
        <f>HYPERLINK("[P Only New retention.xlsx]'Lake P Results'!AE388", 127.206)</f>
        <v>127.206</v>
      </c>
      <c r="E1292" s="27">
        <f>HYPERLINK("[P Only with New retention and Differentiation.xlsx]'Lake P Results'!AE388", 128.906)</f>
        <v>128.90600000000001</v>
      </c>
      <c r="F1292" s="46">
        <f>D1292-C1292</f>
        <v>0.10000000000000853</v>
      </c>
      <c r="G1292" s="46">
        <f>E1292-C1292</f>
        <v>1.8000000000000114</v>
      </c>
      <c r="H1292" s="26">
        <f>HYPERLINK("[P Only Old retention.xlsx]'Lake P Results'!AM388", 144900)</f>
        <v>144900</v>
      </c>
      <c r="I1292" s="26">
        <f>HYPERLINK("[P Only New retention.xlsx]'Lake P Results'!AM388", 145100)</f>
        <v>145100</v>
      </c>
      <c r="J1292" s="26">
        <f>HYPERLINK("[P Only with New retention and Differentiation.xlsx]'Lake P Results'!AM388", 145100)</f>
        <v>145100</v>
      </c>
      <c r="K1292" s="16">
        <f>I1292-H1292</f>
        <v>200</v>
      </c>
      <c r="L1292" s="16">
        <f>J1292-H1292</f>
        <v>200</v>
      </c>
      <c r="M1292" s="27">
        <f>HYPERLINK("[P Only Old retention.xlsx]'Lake P Results'!AC388", 9.02)</f>
        <v>9.02</v>
      </c>
      <c r="N1292" s="27">
        <f>HYPERLINK("[P Only New retention.xlsx]'Lake P Results'!AC388", 11.286)</f>
        <v>11.286</v>
      </c>
      <c r="O1292" s="27">
        <f>HYPERLINK("[P Only with New retention and Differentiation.xlsx]'Lake P Results'!AC388", 11.286)</f>
        <v>11.286</v>
      </c>
      <c r="P1292" s="46">
        <f>N1292-M1292</f>
        <v>2.266</v>
      </c>
      <c r="Q1292" s="46">
        <f>O1292-M1292</f>
        <v>2.266</v>
      </c>
      <c r="R1292" s="27">
        <f>HYPERLINK("[P Only Old retention.xlsx]'Lake P Results'!Y388", 1.854)</f>
        <v>1.8540000000000001</v>
      </c>
      <c r="S1292" s="27">
        <f>HYPERLINK("[P Only New retention.xlsx]'Lake P Results'!Y388", 1.87)</f>
        <v>1.87</v>
      </c>
      <c r="T1292" s="27">
        <f>HYPERLINK("[P Only with New retention and Differentiation.xlsx]'Lake P Results'!Y388", 1.518)</f>
        <v>1.518</v>
      </c>
      <c r="U1292" s="46">
        <f>S1292-R1292</f>
        <v>1.6000000000000014E-2</v>
      </c>
      <c r="V1292" s="47">
        <f>T1292-R1292</f>
        <v>-0.33600000000000008</v>
      </c>
      <c r="W1292" s="18"/>
      <c r="X1292" s="18"/>
      <c r="Y1292" s="18"/>
      <c r="Z1292" s="18"/>
      <c r="AA1292" s="18"/>
      <c r="AB1292" s="27">
        <f>HYPERLINK("[P Only Old retention.xlsx]'Lake P Results'!Z388", 1)</f>
        <v>1</v>
      </c>
      <c r="AC1292" s="27">
        <f>HYPERLINK("[P Only New retention.xlsx]'Lake P Results'!Z388", 1)</f>
        <v>1</v>
      </c>
      <c r="AD1292" s="27">
        <f>HYPERLINK("[P Only with New retention and Differentiation.xlsx]'Lake P Results'!Z388", 1.352)</f>
        <v>1.3520000000000001</v>
      </c>
      <c r="AE1292" s="18"/>
      <c r="AF1292" s="46">
        <f>AD1292-AB1292</f>
        <v>0.35200000000000009</v>
      </c>
      <c r="AG1292" s="27">
        <f>HYPERLINK("[P Only Old retention.xlsx]'Lake P Results'!AA388", 53.514)</f>
        <v>53.514000000000003</v>
      </c>
      <c r="AH1292" s="27">
        <f>HYPERLINK("[P Only New retention.xlsx]'Lake P Results'!AA388", 53.514)</f>
        <v>53.514000000000003</v>
      </c>
      <c r="AI1292" s="27">
        <f>HYPERLINK("[P Only with New retention and Differentiation.xlsx]'Lake P Results'!AA388", 53.514)</f>
        <v>53.514000000000003</v>
      </c>
      <c r="AJ1292" s="18"/>
      <c r="AK1292" s="18"/>
      <c r="AL1292" s="18"/>
      <c r="AM1292" s="18"/>
      <c r="AN1292" s="18"/>
      <c r="AO1292" s="18"/>
      <c r="AP1292" s="18"/>
      <c r="AQ1292" s="18"/>
      <c r="AR1292" s="18"/>
      <c r="AS1292" s="18"/>
      <c r="AT1292" s="18"/>
      <c r="AU1292" s="18"/>
      <c r="AV1292" s="18"/>
      <c r="AW1292" s="18"/>
      <c r="AX1292" s="18"/>
      <c r="AY1292" s="18"/>
      <c r="AZ1292" s="18"/>
      <c r="BA1292" s="18"/>
      <c r="BB1292" s="18"/>
      <c r="BC1292" s="18"/>
      <c r="BD1292" s="18"/>
      <c r="BE1292" s="18"/>
      <c r="BF1292" s="18"/>
      <c r="BG1292" s="18"/>
      <c r="BH1292" s="18"/>
      <c r="BI1292" s="18"/>
      <c r="BJ1292" s="18"/>
      <c r="BK1292" s="27">
        <f>HYPERLINK("[P Only Old retention.xlsx]'Lake P Results'!Q388", 0.41)</f>
        <v>0.41</v>
      </c>
      <c r="BL1292" s="27">
        <f>HYPERLINK("[P Only New retention.xlsx]'Lake P Results'!Q388", 0.41)</f>
        <v>0.41</v>
      </c>
      <c r="BM1292" s="27">
        <f>HYPERLINK("[P Only with New retention and Differentiation.xlsx]'Lake P Results'!Q388", 0.41)</f>
        <v>0.41</v>
      </c>
      <c r="BN1292" s="18"/>
      <c r="BO1292" s="18"/>
    </row>
    <row r="1293" spans="1:67" x14ac:dyDescent="0.55000000000000004">
      <c r="A1293" s="31">
        <v>909</v>
      </c>
      <c r="B1293" s="5" t="s">
        <v>693</v>
      </c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  <c r="AZ1293" s="13"/>
      <c r="BA1293" s="13"/>
      <c r="BB1293" s="13"/>
      <c r="BC1293" s="13"/>
      <c r="BD1293" s="13"/>
      <c r="BE1293" s="13"/>
      <c r="BF1293" s="13"/>
      <c r="BG1293" s="13"/>
      <c r="BH1293" s="13"/>
      <c r="BI1293" s="13"/>
      <c r="BJ1293" s="13"/>
      <c r="BK1293" s="13"/>
      <c r="BL1293" s="13"/>
      <c r="BM1293" s="13"/>
      <c r="BN1293" s="13"/>
      <c r="BO1293" s="13"/>
    </row>
    <row r="1294" spans="1:67" x14ac:dyDescent="0.55000000000000004">
      <c r="A1294" s="30">
        <v>910</v>
      </c>
      <c r="B1294" s="6" t="s">
        <v>694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27">
        <f>HYPERLINK("[P Only New retention.xlsx]'Lake P Results'!AC390", 0.042)</f>
        <v>4.2000000000000003E-2</v>
      </c>
      <c r="O1294" s="18"/>
      <c r="P1294" s="46">
        <f>N1294-M1294</f>
        <v>4.2000000000000003E-2</v>
      </c>
      <c r="Q1294" s="18"/>
      <c r="R1294" s="18"/>
      <c r="S1294" s="18"/>
      <c r="T1294" s="27">
        <f>HYPERLINK("[P Only with New retention and Differentiation.xlsx]'Lake P Results'!Y390", 0.042)</f>
        <v>4.2000000000000003E-2</v>
      </c>
      <c r="U1294" s="18"/>
      <c r="V1294" s="46">
        <f>T1294-R1294</f>
        <v>4.2000000000000003E-2</v>
      </c>
      <c r="W1294" s="27">
        <f>HYPERLINK("[P Only Old retention.xlsx]'Lake P Results'!V390", 0.064)</f>
        <v>6.4000000000000001E-2</v>
      </c>
      <c r="X1294" s="27">
        <f>HYPERLINK("[P Only New retention.xlsx]'Lake P Results'!V390", 0.064)</f>
        <v>6.4000000000000001E-2</v>
      </c>
      <c r="Y1294" s="27">
        <f>HYPERLINK("[P Only with New retention and Differentiation.xlsx]'Lake P Results'!V390", 0.064)</f>
        <v>6.4000000000000001E-2</v>
      </c>
      <c r="Z1294" s="18"/>
      <c r="AA1294" s="18"/>
      <c r="AB1294" s="27">
        <f>HYPERLINK("[P Only Old retention.xlsx]'Lake P Results'!Z390", 0.042)</f>
        <v>4.2000000000000003E-2</v>
      </c>
      <c r="AC1294" s="18"/>
      <c r="AD1294" s="18"/>
      <c r="AE1294" s="47">
        <f>AC1294-AB1294</f>
        <v>-4.2000000000000003E-2</v>
      </c>
      <c r="AF1294" s="47">
        <f>AD1294-AB1294</f>
        <v>-4.2000000000000003E-2</v>
      </c>
      <c r="AG1294" s="18"/>
      <c r="AH1294" s="18"/>
      <c r="AI1294" s="18"/>
      <c r="AJ1294" s="18"/>
      <c r="AK1294" s="18"/>
      <c r="AL1294" s="18"/>
      <c r="AM1294" s="18"/>
      <c r="AN1294" s="18"/>
      <c r="AO1294" s="18"/>
      <c r="AP1294" s="18"/>
      <c r="AQ1294" s="18"/>
      <c r="AR1294" s="18"/>
      <c r="AS1294" s="18"/>
      <c r="AT1294" s="18"/>
      <c r="AU1294" s="18"/>
      <c r="AV1294" s="18"/>
      <c r="AW1294" s="18"/>
      <c r="AX1294" s="18"/>
      <c r="AY1294" s="18"/>
      <c r="AZ1294" s="18"/>
      <c r="BA1294" s="18"/>
      <c r="BB1294" s="18"/>
      <c r="BC1294" s="18"/>
      <c r="BD1294" s="18"/>
      <c r="BE1294" s="18"/>
      <c r="BF1294" s="18"/>
      <c r="BG1294" s="18"/>
      <c r="BH1294" s="18"/>
      <c r="BI1294" s="18"/>
      <c r="BJ1294" s="18"/>
      <c r="BK1294" s="18"/>
      <c r="BL1294" s="18"/>
      <c r="BM1294" s="18"/>
      <c r="BN1294" s="18"/>
      <c r="BO1294" s="18"/>
    </row>
    <row r="1295" spans="1:67" x14ac:dyDescent="0.55000000000000004">
      <c r="A1295" s="31">
        <v>911</v>
      </c>
      <c r="B1295" s="5"/>
      <c r="C1295" s="29">
        <f>HYPERLINK("[P Only Old retention.xlsx]'Lake P Results'!AE391", 0.552000000000001)</f>
        <v>0.55200000000000105</v>
      </c>
      <c r="D1295" s="29">
        <f>HYPERLINK("[P Only New retention.xlsx]'Lake P Results'!AE391", 0.552000000000001)</f>
        <v>0.55200000000000105</v>
      </c>
      <c r="E1295" s="29">
        <f>HYPERLINK("[P Only with New retention and Differentiation.xlsx]'Lake P Results'!AE391", 0.540000000000001)</f>
        <v>0.54000000000000103</v>
      </c>
      <c r="F1295" s="13"/>
      <c r="G1295" s="47">
        <f>E1295-C1295</f>
        <v>-1.2000000000000011E-2</v>
      </c>
      <c r="H1295" s="28">
        <f>HYPERLINK("[P Only Old retention.xlsx]'Lake P Results'!AM391", 1000)</f>
        <v>1000</v>
      </c>
      <c r="I1295" s="28">
        <f>HYPERLINK("[P Only New retention.xlsx]'Lake P Results'!AM391", 1000)</f>
        <v>1000</v>
      </c>
      <c r="J1295" s="28">
        <f>HYPERLINK("[P Only with New retention and Differentiation.xlsx]'Lake P Results'!AM391", 1000)</f>
        <v>1000</v>
      </c>
      <c r="K1295" s="13"/>
      <c r="L1295" s="13"/>
      <c r="M1295" s="29">
        <f>HYPERLINK("[P Only Old retention.xlsx]'Lake P Results'!AC391", 0.55)</f>
        <v>0.55000000000000004</v>
      </c>
      <c r="N1295" s="13"/>
      <c r="O1295" s="13"/>
      <c r="P1295" s="47">
        <f>N1295-M1295</f>
        <v>-0.55000000000000004</v>
      </c>
      <c r="Q1295" s="47">
        <f>O1295-M1295</f>
        <v>-0.55000000000000004</v>
      </c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  <c r="AZ1295" s="13"/>
      <c r="BA1295" s="13"/>
      <c r="BB1295" s="13"/>
      <c r="BC1295" s="13"/>
      <c r="BD1295" s="13"/>
      <c r="BE1295" s="13"/>
      <c r="BF1295" s="13"/>
      <c r="BG1295" s="13"/>
      <c r="BH1295" s="13"/>
      <c r="BI1295" s="13"/>
      <c r="BJ1295" s="13"/>
      <c r="BK1295" s="13"/>
      <c r="BL1295" s="13"/>
      <c r="BM1295" s="13"/>
      <c r="BN1295" s="13"/>
      <c r="BO1295" s="13"/>
    </row>
    <row r="1296" spans="1:67" x14ac:dyDescent="0.55000000000000004">
      <c r="A1296" s="30">
        <v>912</v>
      </c>
      <c r="B1296" s="6" t="s">
        <v>695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  <c r="AV1296" s="18"/>
      <c r="AW1296" s="18"/>
      <c r="AX1296" s="18"/>
      <c r="AY1296" s="18"/>
      <c r="AZ1296" s="18"/>
      <c r="BA1296" s="18"/>
      <c r="BB1296" s="18"/>
      <c r="BC1296" s="18"/>
      <c r="BD1296" s="18"/>
      <c r="BE1296" s="18"/>
      <c r="BF1296" s="18"/>
      <c r="BG1296" s="18"/>
      <c r="BH1296" s="18"/>
      <c r="BI1296" s="18"/>
      <c r="BJ1296" s="18"/>
      <c r="BK1296" s="18"/>
      <c r="BL1296" s="18"/>
      <c r="BM1296" s="18"/>
      <c r="BN1296" s="18"/>
      <c r="BO1296" s="18"/>
    </row>
    <row r="1297" spans="1:67" x14ac:dyDescent="0.55000000000000004">
      <c r="A1297" s="31">
        <v>913</v>
      </c>
      <c r="B1297" s="5" t="s">
        <v>696</v>
      </c>
      <c r="C1297" s="13"/>
      <c r="D1297" s="13"/>
      <c r="E1297" s="13"/>
      <c r="F1297" s="13"/>
      <c r="G1297" s="13"/>
      <c r="H1297" s="28">
        <f>HYPERLINK("[P Only Old retention.xlsx]'Lake P Results'!AM393", 6100)</f>
        <v>6100</v>
      </c>
      <c r="I1297" s="28">
        <f>HYPERLINK("[P Only New retention.xlsx]'Lake P Results'!AM393", 6200)</f>
        <v>6200</v>
      </c>
      <c r="J1297" s="28">
        <f>HYPERLINK("[P Only with New retention and Differentiation.xlsx]'Lake P Results'!AM393", 6200)</f>
        <v>6200</v>
      </c>
      <c r="K1297" s="16">
        <f>I1297-H1297</f>
        <v>100</v>
      </c>
      <c r="L1297" s="16">
        <f>J1297-H1297</f>
        <v>100</v>
      </c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</row>
    <row r="1298" spans="1:67" x14ac:dyDescent="0.55000000000000004">
      <c r="A1298" s="30">
        <v>914</v>
      </c>
      <c r="B1298" s="6" t="s">
        <v>697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  <c r="AO1298" s="18"/>
      <c r="AP1298" s="18"/>
      <c r="AQ1298" s="18"/>
      <c r="AR1298" s="18"/>
      <c r="AS1298" s="18"/>
      <c r="AT1298" s="18"/>
      <c r="AU1298" s="18"/>
      <c r="AV1298" s="18"/>
      <c r="AW1298" s="18"/>
      <c r="AX1298" s="18"/>
      <c r="AY1298" s="18"/>
      <c r="AZ1298" s="18"/>
      <c r="BA1298" s="18"/>
      <c r="BB1298" s="18"/>
      <c r="BC1298" s="18"/>
      <c r="BD1298" s="18"/>
      <c r="BE1298" s="18"/>
      <c r="BF1298" s="18"/>
      <c r="BG1298" s="18"/>
      <c r="BH1298" s="18"/>
      <c r="BI1298" s="18"/>
      <c r="BJ1298" s="18"/>
      <c r="BK1298" s="18"/>
      <c r="BL1298" s="18"/>
      <c r="BM1298" s="18"/>
      <c r="BN1298" s="18"/>
      <c r="BO1298" s="18"/>
    </row>
    <row r="1299" spans="1:67" x14ac:dyDescent="0.55000000000000004">
      <c r="A1299" s="31">
        <v>915</v>
      </c>
      <c r="B1299" s="5" t="s">
        <v>698</v>
      </c>
      <c r="C1299" s="13"/>
      <c r="D1299" s="13"/>
      <c r="E1299" s="13"/>
      <c r="F1299" s="13"/>
      <c r="G1299" s="13"/>
      <c r="H1299" s="28">
        <f>HYPERLINK("[P Only Old retention.xlsx]'Lake P Results'!AM395", 100)</f>
        <v>100</v>
      </c>
      <c r="I1299" s="28">
        <f>HYPERLINK("[P Only New retention.xlsx]'Lake P Results'!AM395", 100)</f>
        <v>100</v>
      </c>
      <c r="J1299" s="28">
        <f>HYPERLINK("[P Only with New retention and Differentiation.xlsx]'Lake P Results'!AM395", 100)</f>
        <v>100</v>
      </c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  <c r="AZ1299" s="13"/>
      <c r="BA1299" s="13"/>
      <c r="BB1299" s="13"/>
      <c r="BC1299" s="13"/>
      <c r="BD1299" s="13"/>
      <c r="BE1299" s="13"/>
      <c r="BF1299" s="13"/>
      <c r="BG1299" s="13"/>
      <c r="BH1299" s="13"/>
      <c r="BI1299" s="13"/>
      <c r="BJ1299" s="13"/>
      <c r="BK1299" s="13"/>
      <c r="BL1299" s="13"/>
      <c r="BM1299" s="13"/>
      <c r="BN1299" s="13"/>
      <c r="BO1299" s="13"/>
    </row>
    <row r="1300" spans="1:67" x14ac:dyDescent="0.55000000000000004">
      <c r="A1300" s="30">
        <v>920</v>
      </c>
      <c r="B1300" s="6" t="s">
        <v>699</v>
      </c>
      <c r="C1300" s="18"/>
      <c r="D1300" s="18"/>
      <c r="E1300" s="18"/>
      <c r="F1300" s="18"/>
      <c r="G1300" s="18"/>
      <c r="H1300" s="26">
        <f>HYPERLINK("[P Only Old retention.xlsx]'Lake P Results'!AM396", 1400)</f>
        <v>1400</v>
      </c>
      <c r="I1300" s="26">
        <f>HYPERLINK("[P Only New retention.xlsx]'Lake P Results'!AM396", 1400)</f>
        <v>1400</v>
      </c>
      <c r="J1300" s="26">
        <f>HYPERLINK("[P Only with New retention and Differentiation.xlsx]'Lake P Results'!AM396", 1400)</f>
        <v>1400</v>
      </c>
      <c r="K1300" s="18"/>
      <c r="L1300" s="18"/>
      <c r="M1300" s="27">
        <f>HYPERLINK("[P Only Old retention.xlsx]'Lake P Results'!AC396", 225.33)</f>
        <v>225.33</v>
      </c>
      <c r="N1300" s="27">
        <f>HYPERLINK("[P Only New retention.xlsx]'Lake P Results'!AC396", 225.33)</f>
        <v>225.33</v>
      </c>
      <c r="O1300" s="27">
        <f>HYPERLINK("[P Only with New retention and Differentiation.xlsx]'Lake P Results'!AC396", 225.654)</f>
        <v>225.654</v>
      </c>
      <c r="P1300" s="18"/>
      <c r="Q1300" s="46">
        <f>O1300-M1300</f>
        <v>0.32399999999998386</v>
      </c>
      <c r="R1300" s="27">
        <f>HYPERLINK("[P Only Old retention.xlsx]'Lake P Results'!Y396", 2.898)</f>
        <v>2.8980000000000001</v>
      </c>
      <c r="S1300" s="27">
        <f>HYPERLINK("[P Only New retention.xlsx]'Lake P Results'!Y396", 3.034)</f>
        <v>3.0339999999999998</v>
      </c>
      <c r="T1300" s="27">
        <f>HYPERLINK("[P Only with New retention and Differentiation.xlsx]'Lake P Results'!Y396", 1.934)</f>
        <v>1.9339999999999999</v>
      </c>
      <c r="U1300" s="46">
        <f>S1300-R1300</f>
        <v>0.13599999999999968</v>
      </c>
      <c r="V1300" s="47">
        <f>T1300-R1300</f>
        <v>-0.96400000000000019</v>
      </c>
      <c r="W1300" s="18"/>
      <c r="X1300" s="18"/>
      <c r="Y1300" s="18"/>
      <c r="Z1300" s="18"/>
      <c r="AA1300" s="18"/>
      <c r="AB1300" s="27">
        <f>HYPERLINK("[P Only Old retention.xlsx]'Lake P Results'!Z396", 0.136)</f>
        <v>0.13600000000000001</v>
      </c>
      <c r="AC1300" s="18"/>
      <c r="AD1300" s="27">
        <f>HYPERLINK("[P Only with New retention and Differentiation.xlsx]'Lake P Results'!Z396", 0.776)</f>
        <v>0.77600000000000002</v>
      </c>
      <c r="AE1300" s="47">
        <f>AC1300-AB1300</f>
        <v>-0.13600000000000001</v>
      </c>
      <c r="AF1300" s="46">
        <f>AD1300-AB1300</f>
        <v>0.64</v>
      </c>
      <c r="AG1300" s="27">
        <f>HYPERLINK("[P Only Old retention.xlsx]'Lake P Results'!AA396", 10.954)</f>
        <v>10.954000000000001</v>
      </c>
      <c r="AH1300" s="27">
        <f>HYPERLINK("[P Only New retention.xlsx]'Lake P Results'!AA396", 10.954)</f>
        <v>10.954000000000001</v>
      </c>
      <c r="AI1300" s="27">
        <f>HYPERLINK("[P Only with New retention and Differentiation.xlsx]'Lake P Results'!AA396", 10.954)</f>
        <v>10.954000000000001</v>
      </c>
      <c r="AJ1300" s="18"/>
      <c r="AK1300" s="18"/>
      <c r="AL1300" s="18"/>
      <c r="AM1300" s="18"/>
      <c r="AN1300" s="18"/>
      <c r="AO1300" s="18"/>
      <c r="AP1300" s="18"/>
      <c r="AQ1300" s="26">
        <f>HYPERLINK("[P Only Old retention.xlsx]'Lake P Results'!AH396", 200)</f>
        <v>200</v>
      </c>
      <c r="AR1300" s="26">
        <f>HYPERLINK("[P Only New retention.xlsx]'Lake P Results'!AH396", 200)</f>
        <v>200</v>
      </c>
      <c r="AS1300" s="26">
        <f>HYPERLINK("[P Only with New retention and Differentiation.xlsx]'Lake P Results'!AH396", 200)</f>
        <v>200</v>
      </c>
      <c r="AT1300" s="21">
        <f>AR1300-AQ1300</f>
        <v>0</v>
      </c>
      <c r="AU1300" s="18"/>
      <c r="AV1300" s="18"/>
      <c r="AW1300" s="18"/>
      <c r="AX1300" s="18"/>
      <c r="AY1300" s="18"/>
      <c r="AZ1300" s="18"/>
      <c r="BA1300" s="18"/>
      <c r="BB1300" s="18"/>
      <c r="BC1300" s="18"/>
      <c r="BD1300" s="18"/>
      <c r="BE1300" s="18"/>
      <c r="BF1300" s="18"/>
      <c r="BG1300" s="18"/>
      <c r="BH1300" s="18"/>
      <c r="BI1300" s="18"/>
      <c r="BJ1300" s="18"/>
      <c r="BK1300" s="18"/>
      <c r="BL1300" s="18"/>
      <c r="BM1300" s="18"/>
      <c r="BN1300" s="18"/>
      <c r="BO1300" s="18"/>
    </row>
    <row r="1301" spans="1:67" x14ac:dyDescent="0.55000000000000004">
      <c r="A1301" s="31">
        <v>922</v>
      </c>
      <c r="B1301" s="5" t="s">
        <v>700</v>
      </c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  <c r="AZ1301" s="13"/>
      <c r="BA1301" s="13"/>
      <c r="BB1301" s="13"/>
      <c r="BC1301" s="13"/>
      <c r="BD1301" s="13"/>
      <c r="BE1301" s="13"/>
      <c r="BF1301" s="13"/>
      <c r="BG1301" s="13"/>
      <c r="BH1301" s="13"/>
      <c r="BI1301" s="13"/>
      <c r="BJ1301" s="13"/>
      <c r="BK1301" s="13"/>
      <c r="BL1301" s="13"/>
      <c r="BM1301" s="13"/>
      <c r="BN1301" s="13"/>
      <c r="BO1301" s="13"/>
    </row>
    <row r="1302" spans="1:67" x14ac:dyDescent="0.55000000000000004">
      <c r="A1302" s="30">
        <v>924</v>
      </c>
      <c r="B1302" s="6" t="s">
        <v>701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27">
        <f>HYPERLINK("[P Only Old retention.xlsx]'Lake P Results'!AC398", 4.23)</f>
        <v>4.2300000000000004</v>
      </c>
      <c r="N1302" s="18"/>
      <c r="O1302" s="27">
        <f>HYPERLINK("[P Only with New retention and Differentiation.xlsx]'Lake P Results'!AC398", 4.23)</f>
        <v>4.2300000000000004</v>
      </c>
      <c r="P1302" s="47">
        <f>N1302-M1302</f>
        <v>-4.2300000000000004</v>
      </c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27">
        <f>HYPERLINK("[P Only New retention.xlsx]'Lake P Results'!Z398", 4.23)</f>
        <v>4.2300000000000004</v>
      </c>
      <c r="AD1302" s="18"/>
      <c r="AE1302" s="46">
        <f>AC1302-AB1302</f>
        <v>4.2300000000000004</v>
      </c>
      <c r="AF1302" s="18"/>
      <c r="AG1302" s="18"/>
      <c r="AH1302" s="18"/>
      <c r="AI1302" s="18"/>
      <c r="AJ1302" s="18"/>
      <c r="AK1302" s="18"/>
      <c r="AL1302" s="18"/>
      <c r="AM1302" s="18"/>
      <c r="AN1302" s="18"/>
      <c r="AO1302" s="18"/>
      <c r="AP1302" s="18"/>
      <c r="AQ1302" s="18"/>
      <c r="AR1302" s="18"/>
      <c r="AS1302" s="18"/>
      <c r="AT1302" s="18"/>
      <c r="AU1302" s="18"/>
      <c r="AV1302" s="27">
        <f>HYPERLINK("[P Only Old retention.xlsx]'Lake P Results'!M398", 5.27)</f>
        <v>5.27</v>
      </c>
      <c r="AW1302" s="27">
        <f>HYPERLINK("[P Only New retention.xlsx]'Lake P Results'!M398", 5.27)</f>
        <v>5.27</v>
      </c>
      <c r="AX1302" s="27">
        <f>HYPERLINK("[P Only with New retention and Differentiation.xlsx]'Lake P Results'!M398", 5.27)</f>
        <v>5.27</v>
      </c>
      <c r="AY1302" s="18"/>
      <c r="AZ1302" s="18"/>
      <c r="BA1302" s="18"/>
      <c r="BB1302" s="18"/>
      <c r="BC1302" s="18"/>
      <c r="BD1302" s="18"/>
      <c r="BE1302" s="18"/>
      <c r="BF1302" s="18"/>
      <c r="BG1302" s="18"/>
      <c r="BH1302" s="18"/>
      <c r="BI1302" s="18"/>
      <c r="BJ1302" s="18"/>
      <c r="BK1302" s="18"/>
      <c r="BL1302" s="18"/>
      <c r="BM1302" s="18"/>
      <c r="BN1302" s="18"/>
      <c r="BO1302" s="18"/>
    </row>
    <row r="1303" spans="1:67" x14ac:dyDescent="0.55000000000000004">
      <c r="A1303" s="31">
        <v>925</v>
      </c>
      <c r="B1303" s="5" t="s">
        <v>702</v>
      </c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  <c r="AL1303" s="13"/>
      <c r="AM1303" s="13"/>
      <c r="AN1303" s="13"/>
      <c r="AO1303" s="13"/>
      <c r="AP1303" s="13"/>
      <c r="AQ1303" s="13"/>
      <c r="AR1303" s="13"/>
      <c r="AS1303" s="13"/>
      <c r="AT1303" s="13"/>
      <c r="AU1303" s="13"/>
      <c r="AV1303" s="13"/>
      <c r="AW1303" s="13"/>
      <c r="AX1303" s="13"/>
      <c r="AY1303" s="13"/>
      <c r="AZ1303" s="13"/>
      <c r="BA1303" s="13"/>
      <c r="BB1303" s="13"/>
      <c r="BC1303" s="13"/>
      <c r="BD1303" s="13"/>
      <c r="BE1303" s="13"/>
      <c r="BF1303" s="13"/>
      <c r="BG1303" s="13"/>
      <c r="BH1303" s="13"/>
      <c r="BI1303" s="13"/>
      <c r="BJ1303" s="13"/>
      <c r="BK1303" s="13"/>
      <c r="BL1303" s="13"/>
      <c r="BM1303" s="13"/>
      <c r="BN1303" s="13"/>
      <c r="BO1303" s="13"/>
    </row>
    <row r="1304" spans="1:67" x14ac:dyDescent="0.55000000000000004">
      <c r="A1304" s="30">
        <v>926</v>
      </c>
      <c r="B1304" s="6" t="s">
        <v>703</v>
      </c>
      <c r="C1304" s="18"/>
      <c r="D1304" s="18"/>
      <c r="E1304" s="18"/>
      <c r="F1304" s="18"/>
      <c r="G1304" s="18"/>
      <c r="H1304" s="26">
        <f>HYPERLINK("[P Only Old retention.xlsx]'Lake P Results'!AM400", 1700)</f>
        <v>1700</v>
      </c>
      <c r="I1304" s="26">
        <f>HYPERLINK("[P Only New retention.xlsx]'Lake P Results'!AM400", 1700)</f>
        <v>1700</v>
      </c>
      <c r="J1304" s="26">
        <f>HYPERLINK("[P Only with New retention and Differentiation.xlsx]'Lake P Results'!AM400", 1700)</f>
        <v>1700</v>
      </c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  <c r="AO1304" s="18"/>
      <c r="AP1304" s="18"/>
      <c r="AQ1304" s="26">
        <f>HYPERLINK("[P Only Old retention.xlsx]'Lake P Results'!AH400", 110)</f>
        <v>110</v>
      </c>
      <c r="AR1304" s="26">
        <f>HYPERLINK("[P Only New retention.xlsx]'Lake P Results'!AH400", 110)</f>
        <v>110</v>
      </c>
      <c r="AS1304" s="26">
        <f>HYPERLINK("[P Only with New retention and Differentiation.xlsx]'Lake P Results'!AH400", 110)</f>
        <v>110</v>
      </c>
      <c r="AT1304" s="18"/>
      <c r="AU1304" s="18"/>
      <c r="AV1304" s="27">
        <f>HYPERLINK("[P Only Old retention.xlsx]'Lake P Results'!M400", 191.28)</f>
        <v>191.28</v>
      </c>
      <c r="AW1304" s="27">
        <f>HYPERLINK("[P Only New retention.xlsx]'Lake P Results'!M400", 191.28)</f>
        <v>191.28</v>
      </c>
      <c r="AX1304" s="27">
        <f>HYPERLINK("[P Only with New retention and Differentiation.xlsx]'Lake P Results'!M400", 191.28)</f>
        <v>191.28</v>
      </c>
      <c r="AY1304" s="18"/>
      <c r="AZ1304" s="18"/>
      <c r="BA1304" s="27">
        <f>HYPERLINK("[P Only Old retention.xlsx]'Lake P Results'!O400", 0.296)</f>
        <v>0.29599999999999999</v>
      </c>
      <c r="BB1304" s="27">
        <f>HYPERLINK("[P Only New retention.xlsx]'Lake P Results'!O400", 0.296)</f>
        <v>0.29599999999999999</v>
      </c>
      <c r="BC1304" s="27">
        <f>HYPERLINK("[P Only with New retention and Differentiation.xlsx]'Lake P Results'!O400", 0.296)</f>
        <v>0.29599999999999999</v>
      </c>
      <c r="BD1304" s="18"/>
      <c r="BE1304" s="18"/>
      <c r="BF1304" s="18"/>
      <c r="BG1304" s="18"/>
      <c r="BH1304" s="18"/>
      <c r="BI1304" s="18"/>
      <c r="BJ1304" s="18"/>
      <c r="BK1304" s="18"/>
      <c r="BL1304" s="18"/>
      <c r="BM1304" s="18"/>
      <c r="BN1304" s="18"/>
      <c r="BO1304" s="18"/>
    </row>
    <row r="1305" spans="1:67" x14ac:dyDescent="0.55000000000000004">
      <c r="A1305" s="31">
        <v>927</v>
      </c>
      <c r="B1305" s="5" t="s">
        <v>704</v>
      </c>
      <c r="C1305" s="29">
        <f>HYPERLINK("[P Only Old retention.xlsx]'Lake P Results'!AE401", 0.232)</f>
        <v>0.23200000000000001</v>
      </c>
      <c r="D1305" s="29">
        <f>HYPERLINK("[P Only New retention.xlsx]'Lake P Results'!AE401", 0.232)</f>
        <v>0.23200000000000001</v>
      </c>
      <c r="E1305" s="29">
        <f>HYPERLINK("[P Only with New retention and Differentiation.xlsx]'Lake P Results'!AE401", 0.232)</f>
        <v>0.23200000000000001</v>
      </c>
      <c r="F1305" s="13"/>
      <c r="G1305" s="13"/>
      <c r="H1305" s="28">
        <f>HYPERLINK("[P Only Old retention.xlsx]'Lake P Results'!AM401", 300)</f>
        <v>300</v>
      </c>
      <c r="I1305" s="28">
        <f>HYPERLINK("[P Only New retention.xlsx]'Lake P Results'!AM401", 300)</f>
        <v>300</v>
      </c>
      <c r="J1305" s="28">
        <f>HYPERLINK("[P Only with New retention and Differentiation.xlsx]'Lake P Results'!AM401", 300)</f>
        <v>300</v>
      </c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  <c r="AL1305" s="29">
        <f>HYPERLINK("[P Only Old retention.xlsx]'Lake P Results'!AF401", 0.0399999999999999)</f>
        <v>3.9999999999999897E-2</v>
      </c>
      <c r="AM1305" s="29">
        <f>HYPERLINK("[P Only New retention.xlsx]'Lake P Results'!AF401", 0.0399999999999999)</f>
        <v>3.9999999999999897E-2</v>
      </c>
      <c r="AN1305" s="29">
        <f>HYPERLINK("[P Only with New retention and Differentiation.xlsx]'Lake P Results'!AF401", 0.0399999999999999)</f>
        <v>3.9999999999999897E-2</v>
      </c>
      <c r="AO1305" s="13"/>
      <c r="AP1305" s="13"/>
      <c r="AQ1305" s="28">
        <f>HYPERLINK("[P Only Old retention.xlsx]'Lake P Results'!AH401", 50)</f>
        <v>50</v>
      </c>
      <c r="AR1305" s="28">
        <f>HYPERLINK("[P Only New retention.xlsx]'Lake P Results'!AH401", 50)</f>
        <v>50</v>
      </c>
      <c r="AS1305" s="28">
        <f>HYPERLINK("[P Only with New retention and Differentiation.xlsx]'Lake P Results'!AH401", 50)</f>
        <v>50</v>
      </c>
      <c r="AT1305" s="13"/>
      <c r="AU1305" s="13"/>
      <c r="AV1305" s="13"/>
      <c r="AW1305" s="13"/>
      <c r="AX1305" s="13"/>
      <c r="AY1305" s="13"/>
      <c r="AZ1305" s="13"/>
      <c r="BA1305" s="29">
        <f>HYPERLINK("[P Only Old retention.xlsx]'Lake P Results'!O401", 70.186)</f>
        <v>70.186000000000007</v>
      </c>
      <c r="BB1305" s="29">
        <f>HYPERLINK("[P Only New retention.xlsx]'Lake P Results'!O401", 70.186)</f>
        <v>70.186000000000007</v>
      </c>
      <c r="BC1305" s="29">
        <f>HYPERLINK("[P Only with New retention and Differentiation.xlsx]'Lake P Results'!O401", 70.186)</f>
        <v>70.186000000000007</v>
      </c>
      <c r="BD1305" s="13"/>
      <c r="BE1305" s="13"/>
      <c r="BF1305" s="13"/>
      <c r="BG1305" s="13"/>
      <c r="BH1305" s="13"/>
      <c r="BI1305" s="13"/>
      <c r="BJ1305" s="13"/>
      <c r="BK1305" s="13"/>
      <c r="BL1305" s="13"/>
      <c r="BM1305" s="13"/>
      <c r="BN1305" s="13"/>
      <c r="BO1305" s="13"/>
    </row>
    <row r="1306" spans="1:67" x14ac:dyDescent="0.55000000000000004">
      <c r="A1306" s="30">
        <v>928</v>
      </c>
      <c r="B1306" s="6" t="s">
        <v>705</v>
      </c>
      <c r="C1306" s="18"/>
      <c r="D1306" s="18"/>
      <c r="E1306" s="18"/>
      <c r="F1306" s="18"/>
      <c r="G1306" s="18"/>
      <c r="H1306" s="26">
        <f>HYPERLINK("[P Only Old retention.xlsx]'Lake P Results'!AM402", 100)</f>
        <v>100</v>
      </c>
      <c r="I1306" s="26">
        <f>HYPERLINK("[P Only New retention.xlsx]'Lake P Results'!AM402", 100)</f>
        <v>100</v>
      </c>
      <c r="J1306" s="26">
        <f>HYPERLINK("[P Only with New retention and Differentiation.xlsx]'Lake P Results'!AM402", 100)</f>
        <v>100</v>
      </c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  <c r="AO1306" s="18"/>
      <c r="AP1306" s="18"/>
      <c r="AQ1306" s="18"/>
      <c r="AR1306" s="18"/>
      <c r="AS1306" s="18"/>
      <c r="AT1306" s="18"/>
      <c r="AU1306" s="18"/>
      <c r="AV1306" s="18"/>
      <c r="AW1306" s="18"/>
      <c r="AX1306" s="18"/>
      <c r="AY1306" s="18"/>
      <c r="AZ1306" s="18"/>
      <c r="BA1306" s="18"/>
      <c r="BB1306" s="18"/>
      <c r="BC1306" s="18"/>
      <c r="BD1306" s="18"/>
      <c r="BE1306" s="18"/>
      <c r="BF1306" s="18"/>
      <c r="BG1306" s="18"/>
      <c r="BH1306" s="18"/>
      <c r="BI1306" s="18"/>
      <c r="BJ1306" s="18"/>
      <c r="BK1306" s="18"/>
      <c r="BL1306" s="18"/>
      <c r="BM1306" s="18"/>
      <c r="BN1306" s="18"/>
      <c r="BO1306" s="18"/>
    </row>
    <row r="1307" spans="1:67" x14ac:dyDescent="0.55000000000000004">
      <c r="A1307" s="31">
        <v>930</v>
      </c>
      <c r="B1307" s="5" t="s">
        <v>706</v>
      </c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  <c r="AL1307" s="13"/>
      <c r="AM1307" s="13"/>
      <c r="AN1307" s="13"/>
      <c r="AO1307" s="13"/>
      <c r="AP1307" s="13"/>
      <c r="AQ1307" s="13"/>
      <c r="AR1307" s="13"/>
      <c r="AS1307" s="13"/>
      <c r="AT1307" s="13"/>
      <c r="AU1307" s="13"/>
      <c r="AV1307" s="13"/>
      <c r="AW1307" s="13"/>
      <c r="AX1307" s="13"/>
      <c r="AY1307" s="13"/>
      <c r="AZ1307" s="13"/>
      <c r="BA1307" s="13"/>
      <c r="BB1307" s="13"/>
      <c r="BC1307" s="13"/>
      <c r="BD1307" s="13"/>
      <c r="BE1307" s="13"/>
      <c r="BF1307" s="13"/>
      <c r="BG1307" s="13"/>
      <c r="BH1307" s="13"/>
      <c r="BI1307" s="13"/>
      <c r="BJ1307" s="13"/>
      <c r="BK1307" s="13"/>
      <c r="BL1307" s="13"/>
      <c r="BM1307" s="13"/>
      <c r="BN1307" s="13"/>
      <c r="BO1307" s="13"/>
    </row>
    <row r="1308" spans="1:67" x14ac:dyDescent="0.55000000000000004">
      <c r="A1308" s="30">
        <v>933</v>
      </c>
      <c r="B1308" s="6" t="s">
        <v>707</v>
      </c>
      <c r="C1308" s="18"/>
      <c r="D1308" s="18"/>
      <c r="E1308" s="18"/>
      <c r="F1308" s="18"/>
      <c r="G1308" s="18"/>
      <c r="H1308" s="26">
        <f>HYPERLINK("[P Only Old retention.xlsx]'Lake P Results'!AM404", 3400)</f>
        <v>3400</v>
      </c>
      <c r="I1308" s="26">
        <f>HYPERLINK("[P Only New retention.xlsx]'Lake P Results'!AM404", 3400)</f>
        <v>3400</v>
      </c>
      <c r="J1308" s="26">
        <f>HYPERLINK("[P Only with New retention and Differentiation.xlsx]'Lake P Results'!AM404", 3400)</f>
        <v>3400</v>
      </c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  <c r="AO1308" s="18"/>
      <c r="AP1308" s="18"/>
      <c r="AQ1308" s="26">
        <f>HYPERLINK("[P Only Old retention.xlsx]'Lake P Results'!AH404", 40)</f>
        <v>40</v>
      </c>
      <c r="AR1308" s="26">
        <f>HYPERLINK("[P Only New retention.xlsx]'Lake P Results'!AH404", 40)</f>
        <v>40</v>
      </c>
      <c r="AS1308" s="26">
        <f>HYPERLINK("[P Only with New retention and Differentiation.xlsx]'Lake P Results'!AH404", 40)</f>
        <v>40</v>
      </c>
      <c r="AT1308" s="18"/>
      <c r="AU1308" s="18"/>
      <c r="AV1308" s="27">
        <f>HYPERLINK("[P Only Old retention.xlsx]'Lake P Results'!M404", 82.07)</f>
        <v>82.07</v>
      </c>
      <c r="AW1308" s="27">
        <f>HYPERLINK("[P Only New retention.xlsx]'Lake P Results'!M404", 82.07)</f>
        <v>82.07</v>
      </c>
      <c r="AX1308" s="27">
        <f>HYPERLINK("[P Only with New retention and Differentiation.xlsx]'Lake P Results'!M404", 82.07)</f>
        <v>82.07</v>
      </c>
      <c r="AY1308" s="18"/>
      <c r="AZ1308" s="18"/>
      <c r="BA1308" s="27">
        <f>HYPERLINK("[P Only Old retention.xlsx]'Lake P Results'!O404", 8.444)</f>
        <v>8.4440000000000008</v>
      </c>
      <c r="BB1308" s="27">
        <f>HYPERLINK("[P Only New retention.xlsx]'Lake P Results'!O404", 8.444)</f>
        <v>8.4440000000000008</v>
      </c>
      <c r="BC1308" s="27">
        <f>HYPERLINK("[P Only with New retention and Differentiation.xlsx]'Lake P Results'!O404", 8.444)</f>
        <v>8.4440000000000008</v>
      </c>
      <c r="BD1308" s="18"/>
      <c r="BE1308" s="18"/>
      <c r="BF1308" s="18"/>
      <c r="BG1308" s="18"/>
      <c r="BH1308" s="18"/>
      <c r="BI1308" s="18"/>
      <c r="BJ1308" s="18"/>
      <c r="BK1308" s="18"/>
      <c r="BL1308" s="18"/>
      <c r="BM1308" s="18"/>
      <c r="BN1308" s="18"/>
      <c r="BO1308" s="18"/>
    </row>
    <row r="1309" spans="1:67" x14ac:dyDescent="0.55000000000000004">
      <c r="A1309" s="31">
        <v>934</v>
      </c>
      <c r="B1309" s="5" t="s">
        <v>708</v>
      </c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  <c r="AL1309" s="13"/>
      <c r="AM1309" s="13"/>
      <c r="AN1309" s="13"/>
      <c r="AO1309" s="13"/>
      <c r="AP1309" s="13"/>
      <c r="AQ1309" s="13"/>
      <c r="AR1309" s="13"/>
      <c r="AS1309" s="13"/>
      <c r="AT1309" s="13"/>
      <c r="AU1309" s="13"/>
      <c r="AV1309" s="13"/>
      <c r="AW1309" s="13"/>
      <c r="AX1309" s="13"/>
      <c r="AY1309" s="13"/>
      <c r="AZ1309" s="13"/>
      <c r="BA1309" s="13"/>
      <c r="BB1309" s="13"/>
      <c r="BC1309" s="13"/>
      <c r="BD1309" s="13"/>
      <c r="BE1309" s="13"/>
      <c r="BF1309" s="13"/>
      <c r="BG1309" s="13"/>
      <c r="BH1309" s="13"/>
      <c r="BI1309" s="13"/>
      <c r="BJ1309" s="13"/>
      <c r="BK1309" s="13"/>
      <c r="BL1309" s="13"/>
      <c r="BM1309" s="13"/>
      <c r="BN1309" s="13"/>
      <c r="BO1309" s="13"/>
    </row>
    <row r="1310" spans="1:67" x14ac:dyDescent="0.55000000000000004">
      <c r="A1310" s="30">
        <v>938</v>
      </c>
      <c r="B1310" s="6" t="s">
        <v>709</v>
      </c>
      <c r="C1310" s="18"/>
      <c r="D1310" s="18"/>
      <c r="E1310" s="18"/>
      <c r="F1310" s="18"/>
      <c r="G1310" s="18"/>
      <c r="H1310" s="26">
        <f>HYPERLINK("[P Only Old retention.xlsx]'Lake P Results'!AM406", 1400)</f>
        <v>1400</v>
      </c>
      <c r="I1310" s="26">
        <f>HYPERLINK("[P Only New retention.xlsx]'Lake P Results'!AM406", 1400)</f>
        <v>1400</v>
      </c>
      <c r="J1310" s="26">
        <f>HYPERLINK("[P Only with New retention and Differentiation.xlsx]'Lake P Results'!AM406", 1400)</f>
        <v>1400</v>
      </c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  <c r="AO1310" s="18"/>
      <c r="AP1310" s="18"/>
      <c r="AQ1310" s="18"/>
      <c r="AR1310" s="18"/>
      <c r="AS1310" s="18"/>
      <c r="AT1310" s="18"/>
      <c r="AU1310" s="18"/>
      <c r="AV1310" s="18"/>
      <c r="AW1310" s="18"/>
      <c r="AX1310" s="18"/>
      <c r="AY1310" s="18"/>
      <c r="AZ1310" s="18"/>
      <c r="BA1310" s="27">
        <f>HYPERLINK("[P Only Old retention.xlsx]'Lake P Results'!O406", 48.34)</f>
        <v>48.34</v>
      </c>
      <c r="BB1310" s="27">
        <f>HYPERLINK("[P Only New retention.xlsx]'Lake P Results'!O406", 48.34)</f>
        <v>48.34</v>
      </c>
      <c r="BC1310" s="27">
        <f>HYPERLINK("[P Only with New retention and Differentiation.xlsx]'Lake P Results'!O406", 48.34)</f>
        <v>48.34</v>
      </c>
      <c r="BD1310" s="18"/>
      <c r="BE1310" s="18"/>
      <c r="BF1310" s="18"/>
      <c r="BG1310" s="18"/>
      <c r="BH1310" s="18"/>
      <c r="BI1310" s="18"/>
      <c r="BJ1310" s="18"/>
      <c r="BK1310" s="18"/>
      <c r="BL1310" s="18"/>
      <c r="BM1310" s="18"/>
      <c r="BN1310" s="18"/>
      <c r="BO1310" s="18"/>
    </row>
    <row r="1311" spans="1:67" x14ac:dyDescent="0.55000000000000004">
      <c r="A1311" s="31">
        <v>940</v>
      </c>
      <c r="B1311" s="5" t="s">
        <v>710</v>
      </c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  <c r="AL1311" s="13"/>
      <c r="AM1311" s="13"/>
      <c r="AN1311" s="13"/>
      <c r="AO1311" s="13"/>
      <c r="AP1311" s="13"/>
      <c r="AQ1311" s="13"/>
      <c r="AR1311" s="13"/>
      <c r="AS1311" s="13"/>
      <c r="AT1311" s="13"/>
      <c r="AU1311" s="13"/>
      <c r="AV1311" s="13"/>
      <c r="AW1311" s="13"/>
      <c r="AX1311" s="13"/>
      <c r="AY1311" s="13"/>
      <c r="AZ1311" s="13"/>
      <c r="BA1311" s="13"/>
      <c r="BB1311" s="13"/>
      <c r="BC1311" s="13"/>
      <c r="BD1311" s="13"/>
      <c r="BE1311" s="13"/>
      <c r="BF1311" s="13"/>
      <c r="BG1311" s="13"/>
      <c r="BH1311" s="13"/>
      <c r="BI1311" s="13"/>
      <c r="BJ1311" s="13"/>
      <c r="BK1311" s="13"/>
      <c r="BL1311" s="13"/>
      <c r="BM1311" s="13"/>
      <c r="BN1311" s="13"/>
      <c r="BO1311" s="13"/>
    </row>
    <row r="1312" spans="1:67" x14ac:dyDescent="0.55000000000000004">
      <c r="A1312" s="30">
        <v>941</v>
      </c>
      <c r="B1312" s="6" t="s">
        <v>711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  <c r="AO1312" s="18"/>
      <c r="AP1312" s="18"/>
      <c r="AQ1312" s="18"/>
      <c r="AR1312" s="18"/>
      <c r="AS1312" s="18"/>
      <c r="AT1312" s="18"/>
      <c r="AU1312" s="18"/>
      <c r="AV1312" s="18"/>
      <c r="AW1312" s="18"/>
      <c r="AX1312" s="18"/>
      <c r="AY1312" s="18"/>
      <c r="AZ1312" s="18"/>
      <c r="BA1312" s="18"/>
      <c r="BB1312" s="18"/>
      <c r="BC1312" s="18"/>
      <c r="BD1312" s="18"/>
      <c r="BE1312" s="18"/>
      <c r="BF1312" s="18"/>
      <c r="BG1312" s="18"/>
      <c r="BH1312" s="18"/>
      <c r="BI1312" s="18"/>
      <c r="BJ1312" s="18"/>
      <c r="BK1312" s="18"/>
      <c r="BL1312" s="18"/>
      <c r="BM1312" s="18"/>
      <c r="BN1312" s="18"/>
      <c r="BO1312" s="18"/>
    </row>
    <row r="1313" spans="1:67" x14ac:dyDescent="0.55000000000000004">
      <c r="A1313" s="31">
        <v>947</v>
      </c>
      <c r="B1313" s="5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  <c r="AL1313" s="13"/>
      <c r="AM1313" s="13"/>
      <c r="AN1313" s="13"/>
      <c r="AO1313" s="13"/>
      <c r="AP1313" s="13"/>
      <c r="AQ1313" s="13"/>
      <c r="AR1313" s="13"/>
      <c r="AS1313" s="13"/>
      <c r="AT1313" s="13"/>
      <c r="AU1313" s="13"/>
      <c r="AV1313" s="13"/>
      <c r="AW1313" s="13"/>
      <c r="AX1313" s="13"/>
      <c r="AY1313" s="13"/>
      <c r="AZ1313" s="13"/>
      <c r="BA1313" s="13"/>
      <c r="BB1313" s="13"/>
      <c r="BC1313" s="13"/>
      <c r="BD1313" s="13"/>
      <c r="BE1313" s="13"/>
      <c r="BF1313" s="13"/>
      <c r="BG1313" s="13"/>
      <c r="BH1313" s="13"/>
      <c r="BI1313" s="13"/>
      <c r="BJ1313" s="13"/>
      <c r="BK1313" s="13"/>
      <c r="BL1313" s="13"/>
      <c r="BM1313" s="13"/>
      <c r="BN1313" s="13"/>
      <c r="BO1313" s="13"/>
    </row>
    <row r="1314" spans="1:67" x14ac:dyDescent="0.55000000000000004">
      <c r="A1314" s="30">
        <v>949</v>
      </c>
      <c r="B1314" s="6" t="s">
        <v>712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  <c r="AO1314" s="18"/>
      <c r="AP1314" s="18"/>
      <c r="AQ1314" s="18"/>
      <c r="AR1314" s="18"/>
      <c r="AS1314" s="18"/>
      <c r="AT1314" s="18"/>
      <c r="AU1314" s="18"/>
      <c r="AV1314" s="18"/>
      <c r="AW1314" s="18"/>
      <c r="AX1314" s="18"/>
      <c r="AY1314" s="18"/>
      <c r="AZ1314" s="18"/>
      <c r="BA1314" s="18"/>
      <c r="BB1314" s="18"/>
      <c r="BC1314" s="18"/>
      <c r="BD1314" s="18"/>
      <c r="BE1314" s="18"/>
      <c r="BF1314" s="18"/>
      <c r="BG1314" s="18"/>
      <c r="BH1314" s="18"/>
      <c r="BI1314" s="18"/>
      <c r="BJ1314" s="18"/>
      <c r="BK1314" s="18"/>
      <c r="BL1314" s="18"/>
      <c r="BM1314" s="18"/>
      <c r="BN1314" s="18"/>
      <c r="BO1314" s="18"/>
    </row>
    <row r="1315" spans="1:67" x14ac:dyDescent="0.55000000000000004">
      <c r="A1315" s="31">
        <v>950</v>
      </c>
      <c r="B1315" s="5" t="s">
        <v>713</v>
      </c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  <c r="AL1315" s="13"/>
      <c r="AM1315" s="13"/>
      <c r="AN1315" s="13"/>
      <c r="AO1315" s="13"/>
      <c r="AP1315" s="13"/>
      <c r="AQ1315" s="13"/>
      <c r="AR1315" s="13"/>
      <c r="AS1315" s="13"/>
      <c r="AT1315" s="13"/>
      <c r="AU1315" s="13"/>
      <c r="AV1315" s="13"/>
      <c r="AW1315" s="13"/>
      <c r="AX1315" s="13"/>
      <c r="AY1315" s="13"/>
      <c r="AZ1315" s="13"/>
      <c r="BA1315" s="13"/>
      <c r="BB1315" s="13"/>
      <c r="BC1315" s="13"/>
      <c r="BD1315" s="13"/>
      <c r="BE1315" s="13"/>
      <c r="BF1315" s="13"/>
      <c r="BG1315" s="13"/>
      <c r="BH1315" s="13"/>
      <c r="BI1315" s="13"/>
      <c r="BJ1315" s="13"/>
      <c r="BK1315" s="13"/>
      <c r="BL1315" s="13"/>
      <c r="BM1315" s="13"/>
      <c r="BN1315" s="13"/>
      <c r="BO1315" s="13"/>
    </row>
    <row r="1316" spans="1:67" x14ac:dyDescent="0.55000000000000004">
      <c r="A1316" s="30">
        <v>952</v>
      </c>
      <c r="B1316" s="6" t="s">
        <v>714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  <c r="AO1316" s="18"/>
      <c r="AP1316" s="18"/>
      <c r="AQ1316" s="18"/>
      <c r="AR1316" s="18"/>
      <c r="AS1316" s="18"/>
      <c r="AT1316" s="18"/>
      <c r="AU1316" s="18"/>
      <c r="AV1316" s="18"/>
      <c r="AW1316" s="18"/>
      <c r="AX1316" s="18"/>
      <c r="AY1316" s="18"/>
      <c r="AZ1316" s="18"/>
      <c r="BA1316" s="18"/>
      <c r="BB1316" s="18"/>
      <c r="BC1316" s="18"/>
      <c r="BD1316" s="18"/>
      <c r="BE1316" s="18"/>
      <c r="BF1316" s="18"/>
      <c r="BG1316" s="18"/>
      <c r="BH1316" s="18"/>
      <c r="BI1316" s="18"/>
      <c r="BJ1316" s="18"/>
      <c r="BK1316" s="18"/>
      <c r="BL1316" s="18"/>
      <c r="BM1316" s="18"/>
      <c r="BN1316" s="18"/>
      <c r="BO1316" s="18"/>
    </row>
    <row r="1317" spans="1:67" x14ac:dyDescent="0.55000000000000004">
      <c r="A1317" s="31">
        <v>960</v>
      </c>
      <c r="B1317" s="5" t="s">
        <v>715</v>
      </c>
      <c r="C1317" s="29">
        <f>HYPERLINK("[P Only Old retention.xlsx]'Lake P Results'!AE413", 0.568)</f>
        <v>0.56799999999999995</v>
      </c>
      <c r="D1317" s="29">
        <f>HYPERLINK("[P Only New retention.xlsx]'Lake P Results'!AE413", 0.568)</f>
        <v>0.56799999999999995</v>
      </c>
      <c r="E1317" s="29">
        <f>HYPERLINK("[P Only with New retention and Differentiation.xlsx]'Lake P Results'!AE413", 0.568)</f>
        <v>0.56799999999999995</v>
      </c>
      <c r="F1317" s="13"/>
      <c r="G1317" s="13"/>
      <c r="H1317" s="28">
        <f>HYPERLINK("[P Only Old retention.xlsx]'Lake P Results'!AM413", 17400)</f>
        <v>17400</v>
      </c>
      <c r="I1317" s="28">
        <f>HYPERLINK("[P Only New retention.xlsx]'Lake P Results'!AM413", 17400)</f>
        <v>17400</v>
      </c>
      <c r="J1317" s="28">
        <f>HYPERLINK("[P Only with New retention and Differentiation.xlsx]'Lake P Results'!AM413", 17400)</f>
        <v>17400</v>
      </c>
      <c r="K1317" s="13"/>
      <c r="L1317" s="13"/>
      <c r="M1317" s="29">
        <f>HYPERLINK("[P Only Old retention.xlsx]'Lake P Results'!AC413", 14.976)</f>
        <v>14.976000000000001</v>
      </c>
      <c r="N1317" s="29">
        <f>HYPERLINK("[P Only New retention.xlsx]'Lake P Results'!AC413", 8.516)</f>
        <v>8.516</v>
      </c>
      <c r="O1317" s="29">
        <f>HYPERLINK("[P Only with New retention and Differentiation.xlsx]'Lake P Results'!AC413", 8.516)</f>
        <v>8.516</v>
      </c>
      <c r="P1317" s="47">
        <f>N1317-M1317</f>
        <v>-6.4600000000000009</v>
      </c>
      <c r="Q1317" s="47">
        <f>O1317-M1317</f>
        <v>-6.4600000000000009</v>
      </c>
      <c r="R1317" s="29">
        <f>HYPERLINK("[P Only Old retention.xlsx]'Lake P Results'!Y413", 14.4)</f>
        <v>14.4</v>
      </c>
      <c r="S1317" s="29">
        <f>HYPERLINK("[P Only New retention.xlsx]'Lake P Results'!Y413", 6.46)</f>
        <v>6.46</v>
      </c>
      <c r="T1317" s="13"/>
      <c r="U1317" s="47">
        <f>S1317-R1317</f>
        <v>-7.94</v>
      </c>
      <c r="V1317" s="47">
        <f>T1317-R1317</f>
        <v>-14.4</v>
      </c>
      <c r="W1317" s="29">
        <f>HYPERLINK("[P Only Old retention.xlsx]'Lake P Results'!V413", 56.17)</f>
        <v>56.17</v>
      </c>
      <c r="X1317" s="29">
        <f>HYPERLINK("[P Only New retention.xlsx]'Lake P Results'!V413", 56.17)</f>
        <v>56.17</v>
      </c>
      <c r="Y1317" s="29">
        <f>HYPERLINK("[P Only with New retention and Differentiation.xlsx]'Lake P Results'!V413", 56.17)</f>
        <v>56.17</v>
      </c>
      <c r="Z1317" s="13"/>
      <c r="AA1317" s="13"/>
      <c r="AB1317" s="13"/>
      <c r="AC1317" s="29">
        <f>HYPERLINK("[P Only New retention.xlsx]'Lake P Results'!Z413", 14.4)</f>
        <v>14.4</v>
      </c>
      <c r="AD1317" s="29">
        <f>HYPERLINK("[P Only with New retention and Differentiation.xlsx]'Lake P Results'!Z413", 20.86)</f>
        <v>20.86</v>
      </c>
      <c r="AE1317" s="46">
        <f>AC1317-AB1317</f>
        <v>14.4</v>
      </c>
      <c r="AF1317" s="46">
        <f>AD1317-AB1317</f>
        <v>20.86</v>
      </c>
      <c r="AG1317" s="29">
        <f>HYPERLINK("[P Only Old retention.xlsx]'Lake P Results'!AA413", 10.08)</f>
        <v>10.08</v>
      </c>
      <c r="AH1317" s="29">
        <f>HYPERLINK("[P Only New retention.xlsx]'Lake P Results'!AA413", 10.08)</f>
        <v>10.08</v>
      </c>
      <c r="AI1317" s="29">
        <f>HYPERLINK("[P Only with New retention and Differentiation.xlsx]'Lake P Results'!AA413", 10.08)</f>
        <v>10.08</v>
      </c>
      <c r="AJ1317" s="13"/>
      <c r="AK1317" s="13"/>
      <c r="AL1317" s="13"/>
      <c r="AM1317" s="13"/>
      <c r="AN1317" s="13"/>
      <c r="AO1317" s="13"/>
      <c r="AP1317" s="13"/>
      <c r="AQ1317" s="28">
        <f>HYPERLINK("[P Only Old retention.xlsx]'Lake P Results'!AH413", 160)</f>
        <v>160</v>
      </c>
      <c r="AR1317" s="28">
        <f>HYPERLINK("[P Only New retention.xlsx]'Lake P Results'!AH413", 160)</f>
        <v>160</v>
      </c>
      <c r="AS1317" s="28">
        <f>HYPERLINK("[P Only with New retention and Differentiation.xlsx]'Lake P Results'!AH413", 160)</f>
        <v>160</v>
      </c>
      <c r="AT1317" s="13"/>
      <c r="AU1317" s="13"/>
      <c r="AV1317" s="13"/>
      <c r="AW1317" s="13"/>
      <c r="AX1317" s="13"/>
      <c r="AY1317" s="13"/>
      <c r="AZ1317" s="13"/>
      <c r="BA1317" s="29">
        <f>HYPERLINK("[P Only Old retention.xlsx]'Lake P Results'!O413", 197.44)</f>
        <v>197.44</v>
      </c>
      <c r="BB1317" s="29">
        <f>HYPERLINK("[P Only New retention.xlsx]'Lake P Results'!O413", 197.44)</f>
        <v>197.44</v>
      </c>
      <c r="BC1317" s="29">
        <f>HYPERLINK("[P Only with New retention and Differentiation.xlsx]'Lake P Results'!O413", 197.44)</f>
        <v>197.44</v>
      </c>
      <c r="BD1317" s="13"/>
      <c r="BE1317" s="13"/>
      <c r="BF1317" s="13"/>
      <c r="BG1317" s="13"/>
      <c r="BH1317" s="13"/>
      <c r="BI1317" s="13"/>
      <c r="BJ1317" s="13"/>
      <c r="BK1317" s="13"/>
      <c r="BL1317" s="13"/>
      <c r="BM1317" s="13"/>
      <c r="BN1317" s="13"/>
      <c r="BO1317" s="13"/>
    </row>
    <row r="1318" spans="1:67" x14ac:dyDescent="0.55000000000000004">
      <c r="A1318" s="30">
        <v>963</v>
      </c>
      <c r="B1318" s="6" t="s">
        <v>716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  <c r="AO1318" s="18"/>
      <c r="AP1318" s="18"/>
      <c r="AQ1318" s="18"/>
      <c r="AR1318" s="18"/>
      <c r="AS1318" s="18"/>
      <c r="AT1318" s="18"/>
      <c r="AU1318" s="18"/>
      <c r="AV1318" s="18"/>
      <c r="AW1318" s="18"/>
      <c r="AX1318" s="18"/>
      <c r="AY1318" s="18"/>
      <c r="AZ1318" s="18"/>
      <c r="BA1318" s="18"/>
      <c r="BB1318" s="18"/>
      <c r="BC1318" s="18"/>
      <c r="BD1318" s="18"/>
      <c r="BE1318" s="18"/>
      <c r="BF1318" s="18"/>
      <c r="BG1318" s="18"/>
      <c r="BH1318" s="18"/>
      <c r="BI1318" s="18"/>
      <c r="BJ1318" s="18"/>
      <c r="BK1318" s="18"/>
      <c r="BL1318" s="18"/>
      <c r="BM1318" s="18"/>
      <c r="BN1318" s="18"/>
      <c r="BO1318" s="18"/>
    </row>
    <row r="1319" spans="1:67" x14ac:dyDescent="0.55000000000000004">
      <c r="A1319" s="31">
        <v>965</v>
      </c>
      <c r="B1319" s="5" t="s">
        <v>717</v>
      </c>
      <c r="C1319" s="29">
        <f>HYPERLINK("[P Only Old retention.xlsx]'Lake P Results'!AE415", 20.608)</f>
        <v>20.608000000000001</v>
      </c>
      <c r="D1319" s="29">
        <f>HYPERLINK("[P Only New retention.xlsx]'Lake P Results'!AE415", 20.608)</f>
        <v>20.608000000000001</v>
      </c>
      <c r="E1319" s="29">
        <f>HYPERLINK("[P Only with New retention and Differentiation.xlsx]'Lake P Results'!AE415", 20.608)</f>
        <v>20.608000000000001</v>
      </c>
      <c r="F1319" s="13"/>
      <c r="G1319" s="13"/>
      <c r="H1319" s="28">
        <f>HYPERLINK("[P Only Old retention.xlsx]'Lake P Results'!AM415", 26400)</f>
        <v>26400</v>
      </c>
      <c r="I1319" s="28">
        <f>HYPERLINK("[P Only New retention.xlsx]'Lake P Results'!AM415", 26400)</f>
        <v>26400</v>
      </c>
      <c r="J1319" s="28">
        <f>HYPERLINK("[P Only with New retention and Differentiation.xlsx]'Lake P Results'!AM415", 26400)</f>
        <v>26400</v>
      </c>
      <c r="K1319" s="13"/>
      <c r="L1319" s="13"/>
      <c r="M1319" s="29">
        <f>HYPERLINK("[P Only Old retention.xlsx]'Lake P Results'!AC415", 49.962)</f>
        <v>49.962000000000003</v>
      </c>
      <c r="N1319" s="29">
        <f>HYPERLINK("[P Only New retention.xlsx]'Lake P Results'!AC415", 37.79)</f>
        <v>37.79</v>
      </c>
      <c r="O1319" s="29">
        <f>HYPERLINK("[P Only with New retention and Differentiation.xlsx]'Lake P Results'!AC415", 55.942)</f>
        <v>55.942</v>
      </c>
      <c r="P1319" s="47">
        <f>N1319-M1319</f>
        <v>-12.172000000000004</v>
      </c>
      <c r="Q1319" s="46">
        <f>O1319-M1319</f>
        <v>5.9799999999999969</v>
      </c>
      <c r="R1319" s="29">
        <f>HYPERLINK("[P Only Old retention.xlsx]'Lake P Results'!Y415", 52.38)</f>
        <v>52.38</v>
      </c>
      <c r="S1319" s="29">
        <f>HYPERLINK("[P Only New retention.xlsx]'Lake P Results'!Y415", 43.462)</f>
        <v>43.462000000000003</v>
      </c>
      <c r="T1319" s="29">
        <f>HYPERLINK("[P Only with New retention and Differentiation.xlsx]'Lake P Results'!Y415", 59.99)</f>
        <v>59.99</v>
      </c>
      <c r="U1319" s="47">
        <f>S1319-R1319</f>
        <v>-8.9179999999999993</v>
      </c>
      <c r="V1319" s="46">
        <f>T1319-R1319</f>
        <v>7.6099999999999994</v>
      </c>
      <c r="W1319" s="29">
        <f>HYPERLINK("[P Only Old retention.xlsx]'Lake P Results'!V415", 119.04)</f>
        <v>119.04</v>
      </c>
      <c r="X1319" s="29">
        <f>HYPERLINK("[P Only New retention.xlsx]'Lake P Results'!V415", 119.04)</f>
        <v>119.04</v>
      </c>
      <c r="Y1319" s="29">
        <f>HYPERLINK("[P Only with New retention and Differentiation.xlsx]'Lake P Results'!V415", 119.04)</f>
        <v>119.04</v>
      </c>
      <c r="Z1319" s="13"/>
      <c r="AA1319" s="13"/>
      <c r="AB1319" s="29">
        <f>HYPERLINK("[P Only Old retention.xlsx]'Lake P Results'!Z415", 31.58)</f>
        <v>31.58</v>
      </c>
      <c r="AC1319" s="29">
        <f>HYPERLINK("[P Only New retention.xlsx]'Lake P Results'!Z415", 52.67)</f>
        <v>52.67</v>
      </c>
      <c r="AD1319" s="29">
        <f>HYPERLINK("[P Only with New retention and Differentiation.xlsx]'Lake P Results'!Z415", 17.99)</f>
        <v>17.989999999999998</v>
      </c>
      <c r="AE1319" s="46">
        <f>AC1319-AB1319</f>
        <v>21.090000000000003</v>
      </c>
      <c r="AF1319" s="47">
        <f>AD1319-AB1319</f>
        <v>-13.59</v>
      </c>
      <c r="AG1319" s="29">
        <f>HYPERLINK("[P Only Old retention.xlsx]'Lake P Results'!AA415", 3.13)</f>
        <v>3.13</v>
      </c>
      <c r="AH1319" s="29">
        <f>HYPERLINK("[P Only New retention.xlsx]'Lake P Results'!AA415", 3.13)</f>
        <v>3.13</v>
      </c>
      <c r="AI1319" s="29">
        <f>HYPERLINK("[P Only with New retention and Differentiation.xlsx]'Lake P Results'!AA415", 3.13)</f>
        <v>3.13</v>
      </c>
      <c r="AJ1319" s="13"/>
      <c r="AK1319" s="13"/>
      <c r="AL1319" s="13"/>
      <c r="AM1319" s="13"/>
      <c r="AN1319" s="13"/>
      <c r="AO1319" s="13"/>
      <c r="AP1319" s="13"/>
      <c r="AQ1319" s="28">
        <f>HYPERLINK("[P Only Old retention.xlsx]'Lake P Results'!AH415", 1850)</f>
        <v>1850</v>
      </c>
      <c r="AR1319" s="28">
        <f>HYPERLINK("[P Only New retention.xlsx]'Lake P Results'!AH415", 1850)</f>
        <v>1850</v>
      </c>
      <c r="AS1319" s="28">
        <f>HYPERLINK("[P Only with New retention and Differentiation.xlsx]'Lake P Results'!AH415", 1850)</f>
        <v>1850</v>
      </c>
      <c r="AT1319" s="13"/>
      <c r="AU1319" s="13"/>
      <c r="AV1319" s="13"/>
      <c r="AW1319" s="13"/>
      <c r="AX1319" s="13"/>
      <c r="AY1319" s="13"/>
      <c r="AZ1319" s="13"/>
      <c r="BA1319" s="29">
        <f>HYPERLINK("[P Only Old retention.xlsx]'Lake P Results'!O415", 1576.418)</f>
        <v>1576.4179999999999</v>
      </c>
      <c r="BB1319" s="29">
        <f>HYPERLINK("[P Only New retention.xlsx]'Lake P Results'!O415", 1576.418)</f>
        <v>1576.4179999999999</v>
      </c>
      <c r="BC1319" s="29">
        <f>HYPERLINK("[P Only with New retention and Differentiation.xlsx]'Lake P Results'!O415", 1576.418)</f>
        <v>1576.4179999999999</v>
      </c>
      <c r="BD1319" s="13"/>
      <c r="BE1319" s="13"/>
      <c r="BF1319" s="13"/>
      <c r="BG1319" s="13"/>
      <c r="BH1319" s="13"/>
      <c r="BI1319" s="13"/>
      <c r="BJ1319" s="13"/>
      <c r="BK1319" s="13"/>
      <c r="BL1319" s="13"/>
      <c r="BM1319" s="13"/>
      <c r="BN1319" s="13"/>
      <c r="BO1319" s="13"/>
    </row>
    <row r="1320" spans="1:67" x14ac:dyDescent="0.55000000000000004">
      <c r="A1320" s="30">
        <v>968</v>
      </c>
      <c r="B1320" s="6" t="s">
        <v>718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  <c r="AO1320" s="18"/>
      <c r="AP1320" s="18"/>
      <c r="AQ1320" s="18"/>
      <c r="AR1320" s="18"/>
      <c r="AS1320" s="18"/>
      <c r="AT1320" s="18"/>
      <c r="AU1320" s="18"/>
      <c r="AV1320" s="18"/>
      <c r="AW1320" s="18"/>
      <c r="AX1320" s="18"/>
      <c r="AY1320" s="18"/>
      <c r="AZ1320" s="18"/>
      <c r="BA1320" s="18"/>
      <c r="BB1320" s="18"/>
      <c r="BC1320" s="18"/>
      <c r="BD1320" s="18"/>
      <c r="BE1320" s="18"/>
      <c r="BF1320" s="18"/>
      <c r="BG1320" s="18"/>
      <c r="BH1320" s="18"/>
      <c r="BI1320" s="18"/>
      <c r="BJ1320" s="18"/>
      <c r="BK1320" s="18"/>
      <c r="BL1320" s="18"/>
      <c r="BM1320" s="18"/>
      <c r="BN1320" s="18"/>
      <c r="BO1320" s="18"/>
    </row>
    <row r="1321" spans="1:67" x14ac:dyDescent="0.55000000000000004">
      <c r="A1321" s="31">
        <v>972</v>
      </c>
      <c r="B1321" s="5" t="s">
        <v>719</v>
      </c>
      <c r="C1321" s="29">
        <f>HYPERLINK("[P Only Old retention.xlsx]'Lake P Results'!AE417", 0.63)</f>
        <v>0.63</v>
      </c>
      <c r="D1321" s="29">
        <f>HYPERLINK("[P Only New retention.xlsx]'Lake P Results'!AE417", 0.61)</f>
        <v>0.61</v>
      </c>
      <c r="E1321" s="29">
        <f>HYPERLINK("[P Only with New retention and Differentiation.xlsx]'Lake P Results'!AE417", 0.61)</f>
        <v>0.61</v>
      </c>
      <c r="F1321" s="47">
        <f>D1321-C1321</f>
        <v>-2.0000000000000018E-2</v>
      </c>
      <c r="G1321" s="47">
        <f>E1321-C1321</f>
        <v>-2.0000000000000018E-2</v>
      </c>
      <c r="H1321" s="28">
        <f>HYPERLINK("[P Only Old retention.xlsx]'Lake P Results'!AM417", 8100)</f>
        <v>8100</v>
      </c>
      <c r="I1321" s="28">
        <f>HYPERLINK("[P Only New retention.xlsx]'Lake P Results'!AM417", 8100)</f>
        <v>8100</v>
      </c>
      <c r="J1321" s="28">
        <f>HYPERLINK("[P Only with New retention and Differentiation.xlsx]'Lake P Results'!AM417", 8100)</f>
        <v>8100</v>
      </c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29">
        <f>HYPERLINK("[P Only Old retention.xlsx]'Lake P Results'!AA417", 7.566)</f>
        <v>7.5659999999999998</v>
      </c>
      <c r="AH1321" s="29">
        <f>HYPERLINK("[P Only New retention.xlsx]'Lake P Results'!AA417", 7.39)</f>
        <v>7.39</v>
      </c>
      <c r="AI1321" s="29">
        <f>HYPERLINK("[P Only with New retention and Differentiation.xlsx]'Lake P Results'!AA417", 7.39)</f>
        <v>7.39</v>
      </c>
      <c r="AJ1321" s="47">
        <f>AH1321-AG1321</f>
        <v>-0.17600000000000016</v>
      </c>
      <c r="AK1321" s="47">
        <f>AI1321-AG1321</f>
        <v>-0.17600000000000016</v>
      </c>
      <c r="AL1321" s="13"/>
      <c r="AM1321" s="13"/>
      <c r="AN1321" s="13"/>
      <c r="AO1321" s="13"/>
      <c r="AP1321" s="13"/>
      <c r="AQ1321" s="13"/>
      <c r="AR1321" s="13"/>
      <c r="AS1321" s="13"/>
      <c r="AT1321" s="13"/>
      <c r="AU1321" s="13"/>
      <c r="AV1321" s="13"/>
      <c r="AW1321" s="13"/>
      <c r="AX1321" s="13"/>
      <c r="AY1321" s="13"/>
      <c r="AZ1321" s="13"/>
      <c r="BA1321" s="13"/>
      <c r="BB1321" s="13"/>
      <c r="BC1321" s="13"/>
      <c r="BD1321" s="13"/>
      <c r="BE1321" s="13"/>
      <c r="BF1321" s="13"/>
      <c r="BG1321" s="13"/>
      <c r="BH1321" s="13"/>
      <c r="BI1321" s="13"/>
      <c r="BJ1321" s="13"/>
      <c r="BK1321" s="13"/>
      <c r="BL1321" s="13"/>
      <c r="BM1321" s="13"/>
      <c r="BN1321" s="13"/>
      <c r="BO1321" s="13"/>
    </row>
    <row r="1322" spans="1:67" x14ac:dyDescent="0.55000000000000004">
      <c r="A1322" s="30">
        <v>974</v>
      </c>
      <c r="B1322" s="6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  <c r="AO1322" s="18"/>
      <c r="AP1322" s="18"/>
      <c r="AQ1322" s="18"/>
      <c r="AR1322" s="18"/>
      <c r="AS1322" s="18"/>
      <c r="AT1322" s="18"/>
      <c r="AU1322" s="18"/>
      <c r="AV1322" s="18"/>
      <c r="AW1322" s="18"/>
      <c r="AX1322" s="18"/>
      <c r="AY1322" s="18"/>
      <c r="AZ1322" s="18"/>
      <c r="BA1322" s="18"/>
      <c r="BB1322" s="18"/>
      <c r="BC1322" s="18"/>
      <c r="BD1322" s="18"/>
      <c r="BE1322" s="18"/>
      <c r="BF1322" s="18"/>
      <c r="BG1322" s="18"/>
      <c r="BH1322" s="18"/>
      <c r="BI1322" s="18"/>
      <c r="BJ1322" s="18"/>
      <c r="BK1322" s="18"/>
      <c r="BL1322" s="18"/>
      <c r="BM1322" s="18"/>
      <c r="BN1322" s="18"/>
      <c r="BO1322" s="18"/>
    </row>
    <row r="1323" spans="1:67" x14ac:dyDescent="0.55000000000000004">
      <c r="A1323" s="31">
        <v>985</v>
      </c>
      <c r="B1323" s="5" t="s">
        <v>720</v>
      </c>
      <c r="C1323" s="29">
        <f>HYPERLINK("[P Only Old retention.xlsx]'Lake P Results'!AE419", 3.46)</f>
        <v>3.46</v>
      </c>
      <c r="D1323" s="29">
        <f>HYPERLINK("[P Only New retention.xlsx]'Lake P Results'!AE419", 3.46)</f>
        <v>3.46</v>
      </c>
      <c r="E1323" s="29">
        <f>HYPERLINK("[P Only with New retention and Differentiation.xlsx]'Lake P Results'!AE419", 3.46)</f>
        <v>3.46</v>
      </c>
      <c r="F1323" s="13"/>
      <c r="G1323" s="13"/>
      <c r="H1323" s="28">
        <f>HYPERLINK("[P Only Old retention.xlsx]'Lake P Results'!AM419", 10100)</f>
        <v>10100</v>
      </c>
      <c r="I1323" s="28">
        <f>HYPERLINK("[P Only New retention.xlsx]'Lake P Results'!AM419", 10100)</f>
        <v>10100</v>
      </c>
      <c r="J1323" s="28">
        <f>HYPERLINK("[P Only with New retention and Differentiation.xlsx]'Lake P Results'!AM419", 10100)</f>
        <v>10100</v>
      </c>
      <c r="K1323" s="13"/>
      <c r="L1323" s="13"/>
      <c r="M1323" s="29">
        <f>HYPERLINK("[P Only Old retention.xlsx]'Lake P Results'!AC419", 0.43)</f>
        <v>0.43</v>
      </c>
      <c r="N1323" s="29">
        <f>HYPERLINK("[P Only New retention.xlsx]'Lake P Results'!AC419", 0.43)</f>
        <v>0.43</v>
      </c>
      <c r="O1323" s="29">
        <f>HYPERLINK("[P Only with New retention and Differentiation.xlsx]'Lake P Results'!AC419", 0.43)</f>
        <v>0.43</v>
      </c>
      <c r="P1323" s="13"/>
      <c r="Q1323" s="13"/>
      <c r="R1323" s="29">
        <f>HYPERLINK("[P Only Old retention.xlsx]'Lake P Results'!Y419", 45.91)</f>
        <v>45.91</v>
      </c>
      <c r="S1323" s="29">
        <f>HYPERLINK("[P Only New retention.xlsx]'Lake P Results'!Y419", 45.91)</f>
        <v>45.91</v>
      </c>
      <c r="T1323" s="29">
        <f>HYPERLINK("[P Only with New retention and Differentiation.xlsx]'Lake P Results'!Y419", 45.91)</f>
        <v>45.91</v>
      </c>
      <c r="U1323" s="13"/>
      <c r="V1323" s="13"/>
      <c r="W1323" s="29">
        <f>HYPERLINK("[P Only Old retention.xlsx]'Lake P Results'!V419", 11.38)</f>
        <v>11.38</v>
      </c>
      <c r="X1323" s="29">
        <f>HYPERLINK("[P Only New retention.xlsx]'Lake P Results'!V419", 11.38)</f>
        <v>11.38</v>
      </c>
      <c r="Y1323" s="29">
        <f>HYPERLINK("[P Only with New retention and Differentiation.xlsx]'Lake P Results'!V419", 11.38)</f>
        <v>11.38</v>
      </c>
      <c r="Z1323" s="13"/>
      <c r="AA1323" s="13"/>
      <c r="AB1323" s="13"/>
      <c r="AC1323" s="13"/>
      <c r="AD1323" s="13"/>
      <c r="AE1323" s="13"/>
      <c r="AF1323" s="13"/>
      <c r="AG1323" s="29">
        <f>HYPERLINK("[P Only Old retention.xlsx]'Lake P Results'!AA419", 20.71)</f>
        <v>20.71</v>
      </c>
      <c r="AH1323" s="29">
        <f>HYPERLINK("[P Only New retention.xlsx]'Lake P Results'!AA419", 20.71)</f>
        <v>20.71</v>
      </c>
      <c r="AI1323" s="29">
        <f>HYPERLINK("[P Only with New retention and Differentiation.xlsx]'Lake P Results'!AA419", 20.71)</f>
        <v>20.71</v>
      </c>
      <c r="AJ1323" s="13"/>
      <c r="AK1323" s="13"/>
      <c r="AL1323" s="13"/>
      <c r="AM1323" s="13"/>
      <c r="AN1323" s="13"/>
      <c r="AO1323" s="13"/>
      <c r="AP1323" s="13"/>
      <c r="AQ1323" s="28">
        <f>HYPERLINK("[P Only Old retention.xlsx]'Lake P Results'!AH419", 20)</f>
        <v>20</v>
      </c>
      <c r="AR1323" s="28">
        <f>HYPERLINK("[P Only New retention.xlsx]'Lake P Results'!AH419", 20)</f>
        <v>20</v>
      </c>
      <c r="AS1323" s="28">
        <f>HYPERLINK("[P Only with New retention and Differentiation.xlsx]'Lake P Results'!AH419", 20)</f>
        <v>20</v>
      </c>
      <c r="AT1323" s="13"/>
      <c r="AU1323" s="13"/>
      <c r="AV1323" s="13"/>
      <c r="AW1323" s="13"/>
      <c r="AX1323" s="13"/>
      <c r="AY1323" s="13"/>
      <c r="AZ1323" s="13"/>
      <c r="BA1323" s="29">
        <f>HYPERLINK("[P Only Old retention.xlsx]'Lake P Results'!O419", 110.9)</f>
        <v>110.9</v>
      </c>
      <c r="BB1323" s="29">
        <f>HYPERLINK("[P Only New retention.xlsx]'Lake P Results'!O419", 110.9)</f>
        <v>110.9</v>
      </c>
      <c r="BC1323" s="29">
        <f>HYPERLINK("[P Only with New retention and Differentiation.xlsx]'Lake P Results'!O419", 110.9)</f>
        <v>110.9</v>
      </c>
      <c r="BD1323" s="13"/>
      <c r="BE1323" s="13"/>
      <c r="BF1323" s="13"/>
      <c r="BG1323" s="13"/>
      <c r="BH1323" s="13"/>
      <c r="BI1323" s="13"/>
      <c r="BJ1323" s="13"/>
      <c r="BK1323" s="13"/>
      <c r="BL1323" s="13"/>
      <c r="BM1323" s="13"/>
      <c r="BN1323" s="13"/>
      <c r="BO1323" s="13"/>
    </row>
    <row r="1324" spans="1:67" x14ac:dyDescent="0.55000000000000004">
      <c r="A1324" s="30">
        <v>1000</v>
      </c>
      <c r="B1324" s="6" t="s">
        <v>721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  <c r="AO1324" s="18"/>
      <c r="AP1324" s="18"/>
      <c r="AQ1324" s="18"/>
      <c r="AR1324" s="18"/>
      <c r="AS1324" s="18"/>
      <c r="AT1324" s="18"/>
      <c r="AU1324" s="18"/>
      <c r="AV1324" s="18"/>
      <c r="AW1324" s="18"/>
      <c r="AX1324" s="18"/>
      <c r="AY1324" s="18"/>
      <c r="AZ1324" s="18"/>
      <c r="BA1324" s="18"/>
      <c r="BB1324" s="18"/>
      <c r="BC1324" s="18"/>
      <c r="BD1324" s="18"/>
      <c r="BE1324" s="18"/>
      <c r="BF1324" s="18"/>
      <c r="BG1324" s="18"/>
      <c r="BH1324" s="18"/>
      <c r="BI1324" s="18"/>
      <c r="BJ1324" s="18"/>
      <c r="BK1324" s="18"/>
      <c r="BL1324" s="18"/>
      <c r="BM1324" s="18"/>
      <c r="BN1324" s="18"/>
      <c r="BO1324" s="18"/>
    </row>
    <row r="1325" spans="1:67" x14ac:dyDescent="0.55000000000000004">
      <c r="A1325" s="31">
        <v>1115</v>
      </c>
      <c r="B1325" s="5" t="s">
        <v>722</v>
      </c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  <c r="AL1325" s="13"/>
      <c r="AM1325" s="13"/>
      <c r="AN1325" s="13"/>
      <c r="AO1325" s="13"/>
      <c r="AP1325" s="13"/>
      <c r="AQ1325" s="13"/>
      <c r="AR1325" s="13"/>
      <c r="AS1325" s="13"/>
      <c r="AT1325" s="13"/>
      <c r="AU1325" s="13"/>
      <c r="AV1325" s="13"/>
      <c r="AW1325" s="13"/>
      <c r="AX1325" s="13"/>
      <c r="AY1325" s="13"/>
      <c r="AZ1325" s="13"/>
      <c r="BA1325" s="13"/>
      <c r="BB1325" s="13"/>
      <c r="BC1325" s="13"/>
      <c r="BD1325" s="13"/>
      <c r="BE1325" s="13"/>
      <c r="BF1325" s="13"/>
      <c r="BG1325" s="13"/>
      <c r="BH1325" s="13"/>
      <c r="BI1325" s="13"/>
      <c r="BJ1325" s="13"/>
      <c r="BK1325" s="13"/>
      <c r="BL1325" s="13"/>
      <c r="BM1325" s="13"/>
      <c r="BN1325" s="13"/>
      <c r="BO1325" s="13"/>
    </row>
    <row r="1326" spans="1:67" x14ac:dyDescent="0.55000000000000004">
      <c r="A1326" s="30">
        <v>1217</v>
      </c>
      <c r="B1326" s="6" t="s">
        <v>723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  <c r="AO1326" s="18"/>
      <c r="AP1326" s="18"/>
      <c r="AQ1326" s="18"/>
      <c r="AR1326" s="18"/>
      <c r="AS1326" s="18"/>
      <c r="AT1326" s="18"/>
      <c r="AU1326" s="18"/>
      <c r="AV1326" s="18"/>
      <c r="AW1326" s="18"/>
      <c r="AX1326" s="18"/>
      <c r="AY1326" s="18"/>
      <c r="AZ1326" s="18"/>
      <c r="BA1326" s="18"/>
      <c r="BB1326" s="18"/>
      <c r="BC1326" s="18"/>
      <c r="BD1326" s="18"/>
      <c r="BE1326" s="18"/>
      <c r="BF1326" s="18"/>
      <c r="BG1326" s="18"/>
      <c r="BH1326" s="18"/>
      <c r="BI1326" s="18"/>
      <c r="BJ1326" s="18"/>
      <c r="BK1326" s="18"/>
      <c r="BL1326" s="18"/>
      <c r="BM1326" s="18"/>
      <c r="BN1326" s="18"/>
      <c r="BO1326" s="18"/>
    </row>
    <row r="1327" spans="1:67" x14ac:dyDescent="0.55000000000000004">
      <c r="A1327" s="31">
        <v>1502</v>
      </c>
      <c r="B1327" s="5" t="s">
        <v>724</v>
      </c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  <c r="AL1327" s="13"/>
      <c r="AM1327" s="13"/>
      <c r="AN1327" s="13"/>
      <c r="AO1327" s="13"/>
      <c r="AP1327" s="13"/>
      <c r="AQ1327" s="13"/>
      <c r="AR1327" s="13"/>
      <c r="AS1327" s="13"/>
      <c r="AT1327" s="13"/>
      <c r="AU1327" s="13"/>
      <c r="AV1327" s="13"/>
      <c r="AW1327" s="13"/>
      <c r="AX1327" s="13"/>
      <c r="AY1327" s="13"/>
      <c r="AZ1327" s="13"/>
      <c r="BA1327" s="13"/>
      <c r="BB1327" s="13"/>
      <c r="BC1327" s="13"/>
      <c r="BD1327" s="13"/>
      <c r="BE1327" s="13"/>
      <c r="BF1327" s="13"/>
      <c r="BG1327" s="13"/>
      <c r="BH1327" s="13"/>
      <c r="BI1327" s="13"/>
      <c r="BJ1327" s="13"/>
      <c r="BK1327" s="13"/>
      <c r="BL1327" s="13"/>
      <c r="BM1327" s="13"/>
      <c r="BN1327" s="13"/>
      <c r="BO1327" s="13"/>
    </row>
    <row r="1328" spans="1:67" x14ac:dyDescent="0.55000000000000004">
      <c r="A1328" s="30">
        <v>1514</v>
      </c>
      <c r="B1328" s="6" t="s">
        <v>725</v>
      </c>
      <c r="C1328" s="18"/>
      <c r="D1328" s="18"/>
      <c r="E1328" s="18"/>
      <c r="F1328" s="18"/>
      <c r="G1328" s="18"/>
      <c r="H1328" s="26">
        <f>HYPERLINK("[P Only Old retention.xlsx]'Lake P Results'!AM424", 100)</f>
        <v>100</v>
      </c>
      <c r="I1328" s="26">
        <f>HYPERLINK("[P Only New retention.xlsx]'Lake P Results'!AM424", 100)</f>
        <v>100</v>
      </c>
      <c r="J1328" s="26">
        <f>HYPERLINK("[P Only with New retention and Differentiation.xlsx]'Lake P Results'!AM424", 100)</f>
        <v>100</v>
      </c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  <c r="AO1328" s="18"/>
      <c r="AP1328" s="18"/>
      <c r="AQ1328" s="18"/>
      <c r="AR1328" s="18"/>
      <c r="AS1328" s="18"/>
      <c r="AT1328" s="18"/>
      <c r="AU1328" s="18"/>
      <c r="AV1328" s="18"/>
      <c r="AW1328" s="18"/>
      <c r="AX1328" s="18"/>
      <c r="AY1328" s="18"/>
      <c r="AZ1328" s="18"/>
      <c r="BA1328" s="18"/>
      <c r="BB1328" s="18"/>
      <c r="BC1328" s="18"/>
      <c r="BD1328" s="18"/>
      <c r="BE1328" s="18"/>
      <c r="BF1328" s="18"/>
      <c r="BG1328" s="18"/>
      <c r="BH1328" s="18"/>
      <c r="BI1328" s="18"/>
      <c r="BJ1328" s="18"/>
      <c r="BK1328" s="18"/>
      <c r="BL1328" s="18"/>
      <c r="BM1328" s="18"/>
      <c r="BN1328" s="18"/>
      <c r="BO1328" s="18"/>
    </row>
    <row r="1329" spans="1:67" x14ac:dyDescent="0.55000000000000004">
      <c r="A1329" s="31">
        <v>1803</v>
      </c>
      <c r="B1329" s="5" t="s">
        <v>726</v>
      </c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  <c r="AL1329" s="13"/>
      <c r="AM1329" s="13"/>
      <c r="AN1329" s="13"/>
      <c r="AO1329" s="13"/>
      <c r="AP1329" s="13"/>
      <c r="AQ1329" s="13"/>
      <c r="AR1329" s="13"/>
      <c r="AS1329" s="13"/>
      <c r="AT1329" s="13"/>
      <c r="AU1329" s="13"/>
      <c r="AV1329" s="13"/>
      <c r="AW1329" s="13"/>
      <c r="AX1329" s="13"/>
      <c r="AY1329" s="13"/>
      <c r="AZ1329" s="13"/>
      <c r="BA1329" s="13"/>
      <c r="BB1329" s="13"/>
      <c r="BC1329" s="13"/>
      <c r="BD1329" s="13"/>
      <c r="BE1329" s="13"/>
      <c r="BF1329" s="13"/>
      <c r="BG1329" s="13"/>
      <c r="BH1329" s="13"/>
      <c r="BI1329" s="13"/>
      <c r="BJ1329" s="13"/>
      <c r="BK1329" s="13"/>
      <c r="BL1329" s="13"/>
      <c r="BM1329" s="13"/>
      <c r="BN1329" s="13"/>
      <c r="BO1329" s="13"/>
    </row>
    <row r="1330" spans="1:67" x14ac:dyDescent="0.55000000000000004">
      <c r="A1330" s="30">
        <v>1813</v>
      </c>
      <c r="B1330" s="6" t="s">
        <v>727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  <c r="AO1330" s="18"/>
      <c r="AP1330" s="18"/>
      <c r="AQ1330" s="18"/>
      <c r="AR1330" s="18"/>
      <c r="AS1330" s="18"/>
      <c r="AT1330" s="18"/>
      <c r="AU1330" s="18"/>
      <c r="AV1330" s="18"/>
      <c r="AW1330" s="18"/>
      <c r="AX1330" s="18"/>
      <c r="AY1330" s="18"/>
      <c r="AZ1330" s="18"/>
      <c r="BA1330" s="18"/>
      <c r="BB1330" s="18"/>
      <c r="BC1330" s="18"/>
      <c r="BD1330" s="18"/>
      <c r="BE1330" s="18"/>
      <c r="BF1330" s="18"/>
      <c r="BG1330" s="18"/>
      <c r="BH1330" s="18"/>
      <c r="BI1330" s="18"/>
      <c r="BJ1330" s="18"/>
      <c r="BK1330" s="18"/>
      <c r="BL1330" s="18"/>
      <c r="BM1330" s="18"/>
      <c r="BN1330" s="18"/>
      <c r="BO1330" s="18"/>
    </row>
    <row r="1331" spans="1:67" x14ac:dyDescent="0.55000000000000004">
      <c r="A1331" s="31">
        <v>2103</v>
      </c>
      <c r="B1331" s="5" t="s">
        <v>728</v>
      </c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29">
        <f>HYPERLINK("[P Only with New retention and Differentiation.xlsx]'Lake P Results'!AC427", 0.008)</f>
        <v>8.0000000000000002E-3</v>
      </c>
      <c r="P1331" s="13"/>
      <c r="Q1331" s="46">
        <f>O1331-M1331</f>
        <v>8.0000000000000002E-3</v>
      </c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29">
        <f>HYPERLINK("[P Only Old retention.xlsx]'Lake P Results'!Z427", 0.008)</f>
        <v>8.0000000000000002E-3</v>
      </c>
      <c r="AC1331" s="29">
        <f>HYPERLINK("[P Only New retention.xlsx]'Lake P Results'!Z427", 0.008)</f>
        <v>8.0000000000000002E-3</v>
      </c>
      <c r="AD1331" s="13"/>
      <c r="AE1331" s="13"/>
      <c r="AF1331" s="47">
        <f>AD1331-AB1331</f>
        <v>-8.0000000000000002E-3</v>
      </c>
      <c r="AG1331" s="13"/>
      <c r="AH1331" s="13"/>
      <c r="AI1331" s="13"/>
      <c r="AJ1331" s="13"/>
      <c r="AK1331" s="13"/>
      <c r="AL1331" s="13"/>
      <c r="AM1331" s="13"/>
      <c r="AN1331" s="13"/>
      <c r="AO1331" s="13"/>
      <c r="AP1331" s="13"/>
      <c r="AQ1331" s="13"/>
      <c r="AR1331" s="13"/>
      <c r="AS1331" s="13"/>
      <c r="AT1331" s="13"/>
      <c r="AU1331" s="13"/>
      <c r="AV1331" s="13"/>
      <c r="AW1331" s="13"/>
      <c r="AX1331" s="13"/>
      <c r="AY1331" s="13"/>
      <c r="AZ1331" s="13"/>
      <c r="BA1331" s="13"/>
      <c r="BB1331" s="13"/>
      <c r="BC1331" s="13"/>
      <c r="BD1331" s="13"/>
      <c r="BE1331" s="13"/>
      <c r="BF1331" s="13"/>
      <c r="BG1331" s="13"/>
      <c r="BH1331" s="13"/>
      <c r="BI1331" s="13"/>
      <c r="BJ1331" s="13"/>
      <c r="BK1331" s="13"/>
      <c r="BL1331" s="13"/>
      <c r="BM1331" s="13"/>
      <c r="BN1331" s="13"/>
      <c r="BO1331" s="13"/>
    </row>
    <row r="1332" spans="1:67" x14ac:dyDescent="0.55000000000000004">
      <c r="A1332" s="30">
        <v>3000</v>
      </c>
      <c r="B1332" s="6" t="s">
        <v>729</v>
      </c>
      <c r="C1332" s="18"/>
      <c r="D1332" s="18"/>
      <c r="E1332" s="18"/>
      <c r="F1332" s="18"/>
      <c r="G1332" s="18"/>
      <c r="H1332" s="26">
        <f>HYPERLINK("[P Only Old retention.xlsx]'Lake P Results'!AM428", 400)</f>
        <v>400</v>
      </c>
      <c r="I1332" s="26">
        <f>HYPERLINK("[P Only New retention.xlsx]'Lake P Results'!AM428", 400)</f>
        <v>400</v>
      </c>
      <c r="J1332" s="26">
        <f>HYPERLINK("[P Only with New retention and Differentiation.xlsx]'Lake P Results'!AM428", 400)</f>
        <v>400</v>
      </c>
      <c r="K1332" s="18"/>
      <c r="L1332" s="18"/>
      <c r="M1332" s="27">
        <f>HYPERLINK("[P Only Old retention.xlsx]'Lake P Results'!AC428", 67.348)</f>
        <v>67.347999999999999</v>
      </c>
      <c r="N1332" s="27">
        <f>HYPERLINK("[P Only New retention.xlsx]'Lake P Results'!AC428", 72.208)</f>
        <v>72.207999999999998</v>
      </c>
      <c r="O1332" s="27">
        <f>HYPERLINK("[P Only with New retention and Differentiation.xlsx]'Lake P Results'!AC428", 70.828)</f>
        <v>70.828000000000003</v>
      </c>
      <c r="P1332" s="46">
        <f>N1332-M1332</f>
        <v>4.8599999999999994</v>
      </c>
      <c r="Q1332" s="46">
        <f>O1332-M1332</f>
        <v>3.480000000000004</v>
      </c>
      <c r="R1332" s="18"/>
      <c r="S1332" s="18"/>
      <c r="T1332" s="27">
        <f>HYPERLINK("[P Only with New retention and Differentiation.xlsx]'Lake P Results'!Y428", 11.54)</f>
        <v>11.54</v>
      </c>
      <c r="U1332" s="18"/>
      <c r="V1332" s="46">
        <f>T1332-R1332</f>
        <v>11.54</v>
      </c>
      <c r="W1332" s="18"/>
      <c r="X1332" s="18"/>
      <c r="Y1332" s="18"/>
      <c r="Z1332" s="18"/>
      <c r="AA1332" s="18"/>
      <c r="AB1332" s="27">
        <f>HYPERLINK("[P Only Old retention.xlsx]'Lake P Results'!Z428", 11.54)</f>
        <v>11.54</v>
      </c>
      <c r="AC1332" s="27">
        <f>HYPERLINK("[P Only New retention.xlsx]'Lake P Results'!Z428", 10.16)</f>
        <v>10.16</v>
      </c>
      <c r="AD1332" s="18"/>
      <c r="AE1332" s="47">
        <f>AC1332-AB1332</f>
        <v>-1.379999999999999</v>
      </c>
      <c r="AF1332" s="47">
        <f>AD1332-AB1332</f>
        <v>-11.54</v>
      </c>
      <c r="AG1332" s="18"/>
      <c r="AH1332" s="18"/>
      <c r="AI1332" s="18"/>
      <c r="AJ1332" s="18"/>
      <c r="AK1332" s="18"/>
      <c r="AL1332" s="18"/>
      <c r="AM1332" s="18"/>
      <c r="AN1332" s="18"/>
      <c r="AO1332" s="18"/>
      <c r="AP1332" s="18"/>
      <c r="AQ1332" s="26">
        <f>HYPERLINK("[P Only Old retention.xlsx]'Lake P Results'!AH428", 50)</f>
        <v>50</v>
      </c>
      <c r="AR1332" s="26">
        <f>HYPERLINK("[P Only New retention.xlsx]'Lake P Results'!AH428", 50)</f>
        <v>50</v>
      </c>
      <c r="AS1332" s="26">
        <f>HYPERLINK("[P Only with New retention and Differentiation.xlsx]'Lake P Results'!AH428", 50)</f>
        <v>50</v>
      </c>
      <c r="AT1332" s="18"/>
      <c r="AU1332" s="18"/>
      <c r="AV1332" s="18"/>
      <c r="AW1332" s="18"/>
      <c r="AX1332" s="18"/>
      <c r="AY1332" s="18"/>
      <c r="AZ1332" s="18"/>
      <c r="BA1332" s="18"/>
      <c r="BB1332" s="18"/>
      <c r="BC1332" s="18"/>
      <c r="BD1332" s="18"/>
      <c r="BE1332" s="18"/>
      <c r="BF1332" s="18"/>
      <c r="BG1332" s="18"/>
      <c r="BH1332" s="18"/>
      <c r="BI1332" s="18"/>
      <c r="BJ1332" s="18"/>
      <c r="BK1332" s="18"/>
      <c r="BL1332" s="18"/>
      <c r="BM1332" s="18"/>
      <c r="BN1332" s="18"/>
      <c r="BO1332" s="18"/>
    </row>
    <row r="1333" spans="1:67" x14ac:dyDescent="0.55000000000000004">
      <c r="A1333" s="31">
        <v>3001</v>
      </c>
      <c r="B1333" s="5" t="s">
        <v>730</v>
      </c>
      <c r="C1333" s="29">
        <f>HYPERLINK("[P Only Old retention.xlsx]'Lake P Results'!AE429", 0.0099999999999999)</f>
        <v>9.9999999999998996E-3</v>
      </c>
      <c r="D1333" s="29">
        <f>HYPERLINK("[P Only New retention.xlsx]'Lake P Results'!AE429", 0.0099999999999999)</f>
        <v>9.9999999999998996E-3</v>
      </c>
      <c r="E1333" s="29">
        <f>HYPERLINK("[P Only with New retention and Differentiation.xlsx]'Lake P Results'!AE429", 0.0099999999999999)</f>
        <v>9.9999999999998996E-3</v>
      </c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29">
        <f>HYPERLINK("[P Only Old retention.xlsx]'Lake P Results'!Y429", 0.968)</f>
        <v>0.96799999999999997</v>
      </c>
      <c r="S1333" s="29">
        <f>HYPERLINK("[P Only New retention.xlsx]'Lake P Results'!Y429", 0.994)</f>
        <v>0.99399999999999999</v>
      </c>
      <c r="T1333" s="29">
        <f>HYPERLINK("[P Only with New retention and Differentiation.xlsx]'Lake P Results'!Y429", 0.994)</f>
        <v>0.99399999999999999</v>
      </c>
      <c r="U1333" s="46">
        <f>S1333-R1333</f>
        <v>2.6000000000000023E-2</v>
      </c>
      <c r="V1333" s="46">
        <f>T1333-R1333</f>
        <v>2.6000000000000023E-2</v>
      </c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  <c r="AL1333" s="13"/>
      <c r="AM1333" s="13"/>
      <c r="AN1333" s="13"/>
      <c r="AO1333" s="13"/>
      <c r="AP1333" s="13"/>
      <c r="AQ1333" s="13"/>
      <c r="AR1333" s="13"/>
      <c r="AS1333" s="13"/>
      <c r="AT1333" s="13"/>
      <c r="AU1333" s="13"/>
      <c r="AV1333" s="13"/>
      <c r="AW1333" s="13"/>
      <c r="AX1333" s="13"/>
      <c r="AY1333" s="13"/>
      <c r="AZ1333" s="13"/>
      <c r="BA1333" s="13"/>
      <c r="BB1333" s="13"/>
      <c r="BC1333" s="13"/>
      <c r="BD1333" s="13"/>
      <c r="BE1333" s="13"/>
      <c r="BF1333" s="13"/>
      <c r="BG1333" s="13"/>
      <c r="BH1333" s="13"/>
      <c r="BI1333" s="13"/>
      <c r="BJ1333" s="13"/>
      <c r="BK1333" s="13"/>
      <c r="BL1333" s="13"/>
      <c r="BM1333" s="13"/>
      <c r="BN1333" s="13"/>
      <c r="BO1333" s="13"/>
    </row>
    <row r="1334" spans="1:67" x14ac:dyDescent="0.55000000000000004">
      <c r="A1334" s="30">
        <v>3101</v>
      </c>
      <c r="B1334" s="6" t="s">
        <v>731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  <c r="AO1334" s="18"/>
      <c r="AP1334" s="18"/>
      <c r="AQ1334" s="18"/>
      <c r="AR1334" s="18"/>
      <c r="AS1334" s="18"/>
      <c r="AT1334" s="18"/>
      <c r="AU1334" s="18"/>
      <c r="AV1334" s="18"/>
      <c r="AW1334" s="18"/>
      <c r="AX1334" s="18"/>
      <c r="AY1334" s="18"/>
      <c r="AZ1334" s="18"/>
      <c r="BA1334" s="18"/>
      <c r="BB1334" s="18"/>
      <c r="BC1334" s="18"/>
      <c r="BD1334" s="18"/>
      <c r="BE1334" s="18"/>
      <c r="BF1334" s="18"/>
      <c r="BG1334" s="18"/>
      <c r="BH1334" s="18"/>
      <c r="BI1334" s="18"/>
      <c r="BJ1334" s="18"/>
      <c r="BK1334" s="18"/>
      <c r="BL1334" s="18"/>
      <c r="BM1334" s="18"/>
      <c r="BN1334" s="18"/>
      <c r="BO1334" s="18"/>
    </row>
    <row r="1335" spans="1:67" x14ac:dyDescent="0.55000000000000004">
      <c r="A1335" s="31">
        <v>3102</v>
      </c>
      <c r="B1335" s="5" t="s">
        <v>732</v>
      </c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  <c r="AL1335" s="13"/>
      <c r="AM1335" s="13"/>
      <c r="AN1335" s="13"/>
      <c r="AO1335" s="13"/>
      <c r="AP1335" s="13"/>
      <c r="AQ1335" s="13"/>
      <c r="AR1335" s="13"/>
      <c r="AS1335" s="13"/>
      <c r="AT1335" s="13"/>
      <c r="AU1335" s="13"/>
      <c r="AV1335" s="13"/>
      <c r="AW1335" s="13"/>
      <c r="AX1335" s="13"/>
      <c r="AY1335" s="13"/>
      <c r="AZ1335" s="13"/>
      <c r="BA1335" s="13"/>
      <c r="BB1335" s="13"/>
      <c r="BC1335" s="13"/>
      <c r="BD1335" s="13"/>
      <c r="BE1335" s="13"/>
      <c r="BF1335" s="13"/>
      <c r="BG1335" s="13"/>
      <c r="BH1335" s="13"/>
      <c r="BI1335" s="13"/>
      <c r="BJ1335" s="13"/>
      <c r="BK1335" s="13"/>
      <c r="BL1335" s="13"/>
      <c r="BM1335" s="13"/>
      <c r="BN1335" s="13"/>
      <c r="BO1335" s="13"/>
    </row>
    <row r="1336" spans="1:67" x14ac:dyDescent="0.55000000000000004">
      <c r="A1336" s="30">
        <v>6237</v>
      </c>
      <c r="B1336" s="6" t="s">
        <v>733</v>
      </c>
      <c r="C1336" s="18"/>
      <c r="D1336" s="18"/>
      <c r="E1336" s="18"/>
      <c r="F1336" s="18"/>
      <c r="G1336" s="18"/>
      <c r="H1336" s="26">
        <f>HYPERLINK("[P Only Old retention.xlsx]'Lake P Results'!AM432", 300)</f>
        <v>300</v>
      </c>
      <c r="I1336" s="26">
        <f>HYPERLINK("[P Only New retention.xlsx]'Lake P Results'!AM432", 300)</f>
        <v>300</v>
      </c>
      <c r="J1336" s="26">
        <f>HYPERLINK("[P Only with New retention and Differentiation.xlsx]'Lake P Results'!AM432", 300)</f>
        <v>300</v>
      </c>
      <c r="K1336" s="18"/>
      <c r="L1336" s="18"/>
      <c r="M1336" s="27">
        <f>HYPERLINK("[P Only Old retention.xlsx]'Lake P Results'!AC432", 0.042)</f>
        <v>4.2000000000000003E-2</v>
      </c>
      <c r="N1336" s="27">
        <f>HYPERLINK("[P Only New retention.xlsx]'Lake P Results'!AC432", 0.042)</f>
        <v>4.2000000000000003E-2</v>
      </c>
      <c r="O1336" s="27">
        <f>HYPERLINK("[P Only with New retention and Differentiation.xlsx]'Lake P Results'!AC432", 0.042)</f>
        <v>4.2000000000000003E-2</v>
      </c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  <c r="AO1336" s="18"/>
      <c r="AP1336" s="18"/>
      <c r="AQ1336" s="18"/>
      <c r="AR1336" s="18"/>
      <c r="AS1336" s="18"/>
      <c r="AT1336" s="18"/>
      <c r="AU1336" s="18"/>
      <c r="AV1336" s="18"/>
      <c r="AW1336" s="18"/>
      <c r="AX1336" s="18"/>
      <c r="AY1336" s="18"/>
      <c r="AZ1336" s="18"/>
      <c r="BA1336" s="27">
        <f>HYPERLINK("[P Only Old retention.xlsx]'Lake P Results'!O432", 32.41)</f>
        <v>32.409999999999997</v>
      </c>
      <c r="BB1336" s="27">
        <f>HYPERLINK("[P Only New retention.xlsx]'Lake P Results'!O432", 32.41)</f>
        <v>32.409999999999997</v>
      </c>
      <c r="BC1336" s="27">
        <f>HYPERLINK("[P Only with New retention and Differentiation.xlsx]'Lake P Results'!O432", 32.41)</f>
        <v>32.409999999999997</v>
      </c>
      <c r="BD1336" s="18"/>
      <c r="BE1336" s="18"/>
      <c r="BF1336" s="18"/>
      <c r="BG1336" s="18"/>
      <c r="BH1336" s="18"/>
      <c r="BI1336" s="18"/>
      <c r="BJ1336" s="18"/>
      <c r="BK1336" s="18"/>
      <c r="BL1336" s="18"/>
      <c r="BM1336" s="18"/>
      <c r="BN1336" s="18"/>
      <c r="BO1336" s="18"/>
    </row>
    <row r="1337" spans="1:67" x14ac:dyDescent="0.55000000000000004">
      <c r="A1337" s="31">
        <v>6258</v>
      </c>
      <c r="B1337" s="5" t="s">
        <v>734</v>
      </c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  <c r="AL1337" s="13"/>
      <c r="AM1337" s="13"/>
      <c r="AN1337" s="13"/>
      <c r="AO1337" s="13"/>
      <c r="AP1337" s="13"/>
      <c r="AQ1337" s="13"/>
      <c r="AR1337" s="13"/>
      <c r="AS1337" s="13"/>
      <c r="AT1337" s="13"/>
      <c r="AU1337" s="13"/>
      <c r="AV1337" s="13"/>
      <c r="AW1337" s="13"/>
      <c r="AX1337" s="13"/>
      <c r="AY1337" s="13"/>
      <c r="AZ1337" s="13"/>
      <c r="BA1337" s="13"/>
      <c r="BB1337" s="13"/>
      <c r="BC1337" s="13"/>
      <c r="BD1337" s="13"/>
      <c r="BE1337" s="13"/>
      <c r="BF1337" s="13"/>
      <c r="BG1337" s="13"/>
      <c r="BH1337" s="13"/>
      <c r="BI1337" s="13"/>
      <c r="BJ1337" s="13"/>
      <c r="BK1337" s="13"/>
      <c r="BL1337" s="13"/>
      <c r="BM1337" s="13"/>
      <c r="BN1337" s="13"/>
      <c r="BO1337" s="13"/>
    </row>
    <row r="1338" spans="1:67" x14ac:dyDescent="0.55000000000000004">
      <c r="A1338" s="30">
        <v>6340</v>
      </c>
      <c r="B1338" s="6" t="s">
        <v>735</v>
      </c>
      <c r="C1338" s="27">
        <f>HYPERLINK("[P Only Old retention.xlsx]'Lake P Results'!AE434", 0.0279999999999999)</f>
        <v>2.79999999999999E-2</v>
      </c>
      <c r="D1338" s="27">
        <f>HYPERLINK("[P Only New retention.xlsx]'Lake P Results'!AE434", 0.0279999999999999)</f>
        <v>2.79999999999999E-2</v>
      </c>
      <c r="E1338" s="27">
        <f>HYPERLINK("[P Only with New retention and Differentiation.xlsx]'Lake P Results'!AE434", 0.0279999999999999)</f>
        <v>2.79999999999999E-2</v>
      </c>
      <c r="F1338" s="18"/>
      <c r="G1338" s="18"/>
      <c r="H1338" s="26">
        <f>HYPERLINK("[P Only Old retention.xlsx]'Lake P Results'!AM434", 1100)</f>
        <v>1100</v>
      </c>
      <c r="I1338" s="26">
        <f>HYPERLINK("[P Only New retention.xlsx]'Lake P Results'!AM434", 1100)</f>
        <v>1100</v>
      </c>
      <c r="J1338" s="26">
        <f>HYPERLINK("[P Only with New retention and Differentiation.xlsx]'Lake P Results'!AM434", 1100)</f>
        <v>1100</v>
      </c>
      <c r="K1338" s="18"/>
      <c r="L1338" s="18"/>
      <c r="M1338" s="27">
        <f>HYPERLINK("[P Only Old retention.xlsx]'Lake P Results'!AC434", 3.96)</f>
        <v>3.96</v>
      </c>
      <c r="N1338" s="27">
        <f>HYPERLINK("[P Only New retention.xlsx]'Lake P Results'!AC434", 3.96)</f>
        <v>3.96</v>
      </c>
      <c r="O1338" s="27">
        <f>HYPERLINK("[P Only with New retention and Differentiation.xlsx]'Lake P Results'!AC434", 31.49)</f>
        <v>31.49</v>
      </c>
      <c r="P1338" s="18"/>
      <c r="Q1338" s="46">
        <f>O1338-M1338</f>
        <v>27.529999999999998</v>
      </c>
      <c r="R1338" s="27">
        <f>HYPERLINK("[P Only Old retention.xlsx]'Lake P Results'!Y434", 0.63)</f>
        <v>0.63</v>
      </c>
      <c r="S1338" s="27">
        <f>HYPERLINK("[P Only New retention.xlsx]'Lake P Results'!Y434", 0.63)</f>
        <v>0.63</v>
      </c>
      <c r="T1338" s="27">
        <f>HYPERLINK("[P Only with New retention and Differentiation.xlsx]'Lake P Results'!Y434", 2.71)</f>
        <v>2.71</v>
      </c>
      <c r="U1338" s="18"/>
      <c r="V1338" s="46">
        <f>T1338-R1338</f>
        <v>2.08</v>
      </c>
      <c r="W1338" s="27">
        <f>HYPERLINK("[P Only Old retention.xlsx]'Lake P Results'!V434", 0.72)</f>
        <v>0.72</v>
      </c>
      <c r="X1338" s="27">
        <f>HYPERLINK("[P Only New retention.xlsx]'Lake P Results'!V434", 0.72)</f>
        <v>0.72</v>
      </c>
      <c r="Y1338" s="18"/>
      <c r="Z1338" s="18"/>
      <c r="AA1338" s="47">
        <f>Y1338-W1338</f>
        <v>-0.72</v>
      </c>
      <c r="AB1338" s="18"/>
      <c r="AC1338" s="18"/>
      <c r="AD1338" s="27">
        <f>HYPERLINK("[P Only with New retention and Differentiation.xlsx]'Lake P Results'!Z434", 53.52)</f>
        <v>53.52</v>
      </c>
      <c r="AE1338" s="18"/>
      <c r="AF1338" s="46">
        <f>AD1338-AB1338</f>
        <v>53.52</v>
      </c>
      <c r="AG1338" s="18"/>
      <c r="AH1338" s="18"/>
      <c r="AI1338" s="27">
        <f>HYPERLINK("[P Only with New retention and Differentiation.xlsx]'Lake P Results'!AA434", 5.18)</f>
        <v>5.18</v>
      </c>
      <c r="AJ1338" s="18"/>
      <c r="AK1338" s="46">
        <f>AI1338-AG1338</f>
        <v>5.18</v>
      </c>
      <c r="AL1338" s="18"/>
      <c r="AM1338" s="18"/>
      <c r="AN1338" s="18"/>
      <c r="AO1338" s="18"/>
      <c r="AP1338" s="18"/>
      <c r="AQ1338" s="26">
        <f>HYPERLINK("[P Only Old retention.xlsx]'Lake P Results'!AH434", 50)</f>
        <v>50</v>
      </c>
      <c r="AR1338" s="26">
        <f>HYPERLINK("[P Only New retention.xlsx]'Lake P Results'!AH434", 50)</f>
        <v>50</v>
      </c>
      <c r="AS1338" s="26">
        <f>HYPERLINK("[P Only with New retention and Differentiation.xlsx]'Lake P Results'!AH434", 50)</f>
        <v>50</v>
      </c>
      <c r="AT1338" s="18"/>
      <c r="AU1338" s="18"/>
      <c r="AV1338" s="27">
        <f>HYPERLINK("[P Only Old retention.xlsx]'Lake P Results'!M434", 92.18)</f>
        <v>92.18</v>
      </c>
      <c r="AW1338" s="27">
        <f>HYPERLINK("[P Only New retention.xlsx]'Lake P Results'!M434", 81.06)</f>
        <v>81.06</v>
      </c>
      <c r="AX1338" s="18"/>
      <c r="AY1338" s="47">
        <f>AW1338-AV1338</f>
        <v>-11.120000000000005</v>
      </c>
      <c r="AZ1338" s="47">
        <f>AX1338-AV1338</f>
        <v>-92.18</v>
      </c>
      <c r="BA1338" s="18"/>
      <c r="BB1338" s="27">
        <f>HYPERLINK("[P Only New retention.xlsx]'Lake P Results'!O434", 11.12)</f>
        <v>11.12</v>
      </c>
      <c r="BC1338" s="18"/>
      <c r="BD1338" s="46">
        <f>BB1338-BA1338</f>
        <v>11.12</v>
      </c>
      <c r="BE1338" s="18"/>
      <c r="BF1338" s="18"/>
      <c r="BG1338" s="18"/>
      <c r="BH1338" s="18"/>
      <c r="BI1338" s="18"/>
      <c r="BJ1338" s="18"/>
      <c r="BK1338" s="18"/>
      <c r="BL1338" s="18"/>
      <c r="BM1338" s="18"/>
      <c r="BN1338" s="18"/>
      <c r="BO1338" s="18"/>
    </row>
    <row r="1339" spans="1:67" x14ac:dyDescent="0.55000000000000004">
      <c r="A1339" s="31">
        <v>6755</v>
      </c>
      <c r="B1339" s="5" t="s">
        <v>736</v>
      </c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  <c r="AL1339" s="13"/>
      <c r="AM1339" s="13"/>
      <c r="AN1339" s="13"/>
      <c r="AO1339" s="13"/>
      <c r="AP1339" s="13"/>
      <c r="AQ1339" s="13"/>
      <c r="AR1339" s="13"/>
      <c r="AS1339" s="13"/>
      <c r="AT1339" s="13"/>
      <c r="AU1339" s="13"/>
      <c r="AV1339" s="13"/>
      <c r="AW1339" s="13"/>
      <c r="AX1339" s="13"/>
      <c r="AY1339" s="13"/>
      <c r="AZ1339" s="13"/>
      <c r="BA1339" s="13"/>
      <c r="BB1339" s="13"/>
      <c r="BC1339" s="13"/>
      <c r="BD1339" s="13"/>
      <c r="BE1339" s="13"/>
      <c r="BF1339" s="13"/>
      <c r="BG1339" s="13"/>
      <c r="BH1339" s="13"/>
      <c r="BI1339" s="13"/>
      <c r="BJ1339" s="13"/>
      <c r="BK1339" s="13"/>
      <c r="BL1339" s="13"/>
      <c r="BM1339" s="13"/>
      <c r="BN1339" s="13"/>
      <c r="BO1339" s="13"/>
    </row>
    <row r="1340" spans="1:67" x14ac:dyDescent="0.55000000000000004">
      <c r="A1340" s="30">
        <v>6780</v>
      </c>
      <c r="B1340" s="6" t="s">
        <v>737</v>
      </c>
      <c r="C1340" s="18"/>
      <c r="D1340" s="18"/>
      <c r="E1340" s="18"/>
      <c r="F1340" s="18"/>
      <c r="G1340" s="18"/>
      <c r="H1340" s="26">
        <f>HYPERLINK("[P Only Old retention.xlsx]'Lake P Results'!AM436", 500)</f>
        <v>500</v>
      </c>
      <c r="I1340" s="26">
        <f>HYPERLINK("[P Only New retention.xlsx]'Lake P Results'!AM436", 500)</f>
        <v>500</v>
      </c>
      <c r="J1340" s="26">
        <f>HYPERLINK("[P Only with New retention and Differentiation.xlsx]'Lake P Results'!AM436", 500)</f>
        <v>500</v>
      </c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  <c r="AO1340" s="18"/>
      <c r="AP1340" s="18"/>
      <c r="AQ1340" s="18"/>
      <c r="AR1340" s="18"/>
      <c r="AS1340" s="18"/>
      <c r="AT1340" s="18"/>
      <c r="AU1340" s="18"/>
      <c r="AV1340" s="18"/>
      <c r="AW1340" s="18"/>
      <c r="AX1340" s="18"/>
      <c r="AY1340" s="18"/>
      <c r="AZ1340" s="18"/>
      <c r="BA1340" s="18"/>
      <c r="BB1340" s="18"/>
      <c r="BC1340" s="18"/>
      <c r="BD1340" s="18"/>
      <c r="BE1340" s="18"/>
      <c r="BF1340" s="18"/>
      <c r="BG1340" s="18"/>
      <c r="BH1340" s="18"/>
      <c r="BI1340" s="18"/>
      <c r="BJ1340" s="18"/>
      <c r="BK1340" s="18"/>
      <c r="BL1340" s="18"/>
      <c r="BM1340" s="18"/>
      <c r="BN1340" s="18"/>
      <c r="BO1340" s="18"/>
    </row>
    <row r="1341" spans="1:67" x14ac:dyDescent="0.55000000000000004">
      <c r="A1341" s="31">
        <v>7052</v>
      </c>
      <c r="B1341" s="5" t="s">
        <v>738</v>
      </c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  <c r="AL1341" s="13"/>
      <c r="AM1341" s="13"/>
      <c r="AN1341" s="13"/>
      <c r="AO1341" s="13"/>
      <c r="AP1341" s="13"/>
      <c r="AQ1341" s="13"/>
      <c r="AR1341" s="13"/>
      <c r="AS1341" s="13"/>
      <c r="AT1341" s="13"/>
      <c r="AU1341" s="13"/>
      <c r="AV1341" s="13"/>
      <c r="AW1341" s="13"/>
      <c r="AX1341" s="13"/>
      <c r="AY1341" s="13"/>
      <c r="AZ1341" s="13"/>
      <c r="BA1341" s="13"/>
      <c r="BB1341" s="13"/>
      <c r="BC1341" s="13"/>
      <c r="BD1341" s="13"/>
      <c r="BE1341" s="13"/>
      <c r="BF1341" s="13"/>
      <c r="BG1341" s="13"/>
      <c r="BH1341" s="13"/>
      <c r="BI1341" s="13"/>
      <c r="BJ1341" s="13"/>
      <c r="BK1341" s="13"/>
      <c r="BL1341" s="13"/>
      <c r="BM1341" s="13"/>
      <c r="BN1341" s="13"/>
      <c r="BO1341" s="13"/>
    </row>
    <row r="1342" spans="1:67" x14ac:dyDescent="0.55000000000000004">
      <c r="A1342" s="30">
        <v>11004</v>
      </c>
      <c r="B1342" s="6" t="s">
        <v>739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  <c r="AO1342" s="18"/>
      <c r="AP1342" s="18"/>
      <c r="AQ1342" s="18"/>
      <c r="AR1342" s="18"/>
      <c r="AS1342" s="18"/>
      <c r="AT1342" s="18"/>
      <c r="AU1342" s="18"/>
      <c r="AV1342" s="18"/>
      <c r="AW1342" s="18"/>
      <c r="AX1342" s="18"/>
      <c r="AY1342" s="18"/>
      <c r="AZ1342" s="18"/>
      <c r="BA1342" s="18"/>
      <c r="BB1342" s="18"/>
      <c r="BC1342" s="18"/>
      <c r="BD1342" s="18"/>
      <c r="BE1342" s="18"/>
      <c r="BF1342" s="18"/>
      <c r="BG1342" s="18"/>
      <c r="BH1342" s="18"/>
      <c r="BI1342" s="18"/>
      <c r="BJ1342" s="18"/>
      <c r="BK1342" s="18"/>
      <c r="BL1342" s="18"/>
      <c r="BM1342" s="18"/>
      <c r="BN1342" s="18"/>
      <c r="BO1342" s="18"/>
    </row>
    <row r="1343" spans="1:67" x14ac:dyDescent="0.55000000000000004">
      <c r="A1343" s="31">
        <v>11006</v>
      </c>
      <c r="B1343" s="5" t="s">
        <v>740</v>
      </c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  <c r="AL1343" s="13"/>
      <c r="AM1343" s="13"/>
      <c r="AN1343" s="13"/>
      <c r="AO1343" s="13"/>
      <c r="AP1343" s="13"/>
      <c r="AQ1343" s="13"/>
      <c r="AR1343" s="13"/>
      <c r="AS1343" s="13"/>
      <c r="AT1343" s="13"/>
      <c r="AU1343" s="13"/>
      <c r="AV1343" s="13"/>
      <c r="AW1343" s="13"/>
      <c r="AX1343" s="13"/>
      <c r="AY1343" s="13"/>
      <c r="AZ1343" s="13"/>
      <c r="BA1343" s="13"/>
      <c r="BB1343" s="13"/>
      <c r="BC1343" s="13"/>
      <c r="BD1343" s="13"/>
      <c r="BE1343" s="13"/>
      <c r="BF1343" s="13"/>
      <c r="BG1343" s="13"/>
      <c r="BH1343" s="13"/>
      <c r="BI1343" s="13"/>
      <c r="BJ1343" s="13"/>
      <c r="BK1343" s="13"/>
      <c r="BL1343" s="13"/>
      <c r="BM1343" s="13"/>
      <c r="BN1343" s="13"/>
      <c r="BO1343" s="13"/>
    </row>
    <row r="1344" spans="1:67" x14ac:dyDescent="0.55000000000000004">
      <c r="A1344" s="30">
        <v>11104</v>
      </c>
      <c r="B1344" s="6" t="s">
        <v>741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  <c r="AO1344" s="18"/>
      <c r="AP1344" s="18"/>
      <c r="AQ1344" s="18"/>
      <c r="AR1344" s="18"/>
      <c r="AS1344" s="18"/>
      <c r="AT1344" s="18"/>
      <c r="AU1344" s="18"/>
      <c r="AV1344" s="18"/>
      <c r="AW1344" s="18"/>
      <c r="AX1344" s="18"/>
      <c r="AY1344" s="18"/>
      <c r="AZ1344" s="18"/>
      <c r="BA1344" s="18"/>
      <c r="BB1344" s="18"/>
      <c r="BC1344" s="18"/>
      <c r="BD1344" s="18"/>
      <c r="BE1344" s="18"/>
      <c r="BF1344" s="18"/>
      <c r="BG1344" s="18"/>
      <c r="BH1344" s="18"/>
      <c r="BI1344" s="18"/>
      <c r="BJ1344" s="18"/>
      <c r="BK1344" s="18"/>
      <c r="BL1344" s="18"/>
      <c r="BM1344" s="18"/>
      <c r="BN1344" s="18"/>
      <c r="BO1344" s="18"/>
    </row>
    <row r="1345" spans="1:67" x14ac:dyDescent="0.55000000000000004">
      <c r="A1345" s="31">
        <v>11105</v>
      </c>
      <c r="B1345" s="5" t="s">
        <v>742</v>
      </c>
      <c r="C1345" s="13"/>
      <c r="D1345" s="13"/>
      <c r="E1345" s="13"/>
      <c r="F1345" s="13"/>
      <c r="G1345" s="13"/>
      <c r="H1345" s="28">
        <f>HYPERLINK("[P Only Old retention.xlsx]'Lake P Results'!AM441", 1000)</f>
        <v>1000</v>
      </c>
      <c r="I1345" s="28">
        <f>HYPERLINK("[P Only New retention.xlsx]'Lake P Results'!AM441", 1000)</f>
        <v>1000</v>
      </c>
      <c r="J1345" s="28">
        <f>HYPERLINK("[P Only with New retention and Differentiation.xlsx]'Lake P Results'!AM441", 1000)</f>
        <v>1000</v>
      </c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  <c r="AL1345" s="13"/>
      <c r="AM1345" s="13"/>
      <c r="AN1345" s="13"/>
      <c r="AO1345" s="13"/>
      <c r="AP1345" s="13"/>
      <c r="AQ1345" s="28">
        <f>HYPERLINK("[P Only Old retention.xlsx]'Lake P Results'!AH441", 50)</f>
        <v>50</v>
      </c>
      <c r="AR1345" s="28">
        <f>HYPERLINK("[P Only New retention.xlsx]'Lake P Results'!AH441", 50)</f>
        <v>50</v>
      </c>
      <c r="AS1345" s="28">
        <f>HYPERLINK("[P Only with New retention and Differentiation.xlsx]'Lake P Results'!AH441", 50)</f>
        <v>50</v>
      </c>
      <c r="AT1345" s="13"/>
      <c r="AU1345" s="13"/>
      <c r="AV1345" s="13"/>
      <c r="AW1345" s="13"/>
      <c r="AX1345" s="13"/>
      <c r="AY1345" s="13"/>
      <c r="AZ1345" s="13"/>
      <c r="BA1345" s="29">
        <f>HYPERLINK("[P Only Old retention.xlsx]'Lake P Results'!O441", 38.78)</f>
        <v>38.78</v>
      </c>
      <c r="BB1345" s="29">
        <f>HYPERLINK("[P Only New retention.xlsx]'Lake P Results'!O441", 38.78)</f>
        <v>38.78</v>
      </c>
      <c r="BC1345" s="29">
        <f>HYPERLINK("[P Only with New retention and Differentiation.xlsx]'Lake P Results'!O441", 38.78)</f>
        <v>38.78</v>
      </c>
      <c r="BD1345" s="13"/>
      <c r="BE1345" s="13"/>
      <c r="BF1345" s="13"/>
      <c r="BG1345" s="13"/>
      <c r="BH1345" s="13"/>
      <c r="BI1345" s="13"/>
      <c r="BJ1345" s="13"/>
      <c r="BK1345" s="13"/>
      <c r="BL1345" s="13"/>
      <c r="BM1345" s="13"/>
      <c r="BN1345" s="13"/>
      <c r="BO1345" s="13"/>
    </row>
    <row r="1346" spans="1:67" x14ac:dyDescent="0.55000000000000004">
      <c r="A1346" s="30">
        <v>11204</v>
      </c>
      <c r="B1346" s="6" t="s">
        <v>743</v>
      </c>
      <c r="C1346" s="18"/>
      <c r="D1346" s="18"/>
      <c r="E1346" s="18"/>
      <c r="F1346" s="18"/>
      <c r="G1346" s="18"/>
      <c r="H1346" s="26">
        <f>HYPERLINK("[P Only Old retention.xlsx]'Lake P Results'!AM442", 100)</f>
        <v>100</v>
      </c>
      <c r="I1346" s="26">
        <f>HYPERLINK("[P Only New retention.xlsx]'Lake P Results'!AM442", 100)</f>
        <v>100</v>
      </c>
      <c r="J1346" s="26">
        <f>HYPERLINK("[P Only with New retention and Differentiation.xlsx]'Lake P Results'!AM442", 100)</f>
        <v>100</v>
      </c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  <c r="AO1346" s="18"/>
      <c r="AP1346" s="18"/>
      <c r="AQ1346" s="18"/>
      <c r="AR1346" s="18"/>
      <c r="AS1346" s="18"/>
      <c r="AT1346" s="18"/>
      <c r="AU1346" s="18"/>
      <c r="AV1346" s="18"/>
      <c r="AW1346" s="18"/>
      <c r="AX1346" s="18"/>
      <c r="AY1346" s="18"/>
      <c r="AZ1346" s="18"/>
      <c r="BA1346" s="18"/>
      <c r="BB1346" s="18"/>
      <c r="BC1346" s="18"/>
      <c r="BD1346" s="18"/>
      <c r="BE1346" s="18"/>
      <c r="BF1346" s="18"/>
      <c r="BG1346" s="18"/>
      <c r="BH1346" s="18"/>
      <c r="BI1346" s="18"/>
      <c r="BJ1346" s="18"/>
      <c r="BK1346" s="18"/>
      <c r="BL1346" s="18"/>
      <c r="BM1346" s="18"/>
      <c r="BN1346" s="18"/>
      <c r="BO1346" s="18"/>
    </row>
    <row r="1347" spans="1:67" x14ac:dyDescent="0.55000000000000004">
      <c r="A1347" s="31">
        <v>11206</v>
      </c>
      <c r="B1347" s="5" t="s">
        <v>744</v>
      </c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  <c r="AL1347" s="13"/>
      <c r="AM1347" s="13"/>
      <c r="AN1347" s="13"/>
      <c r="AO1347" s="13"/>
      <c r="AP1347" s="13"/>
      <c r="AQ1347" s="13"/>
      <c r="AR1347" s="13"/>
      <c r="AS1347" s="13"/>
      <c r="AT1347" s="13"/>
      <c r="AU1347" s="13"/>
      <c r="AV1347" s="13"/>
      <c r="AW1347" s="13"/>
      <c r="AX1347" s="13"/>
      <c r="AY1347" s="13"/>
      <c r="AZ1347" s="13"/>
      <c r="BA1347" s="13"/>
      <c r="BB1347" s="13"/>
      <c r="BC1347" s="13"/>
      <c r="BD1347" s="13"/>
      <c r="BE1347" s="13"/>
      <c r="BF1347" s="13"/>
      <c r="BG1347" s="13"/>
      <c r="BH1347" s="13"/>
      <c r="BI1347" s="13"/>
      <c r="BJ1347" s="13"/>
      <c r="BK1347" s="13"/>
      <c r="BL1347" s="13"/>
      <c r="BM1347" s="13"/>
      <c r="BN1347" s="13"/>
      <c r="BO1347" s="13"/>
    </row>
    <row r="1348" spans="1:67" x14ac:dyDescent="0.55000000000000004">
      <c r="A1348" s="30">
        <v>11505</v>
      </c>
      <c r="B1348" s="6" t="s">
        <v>745</v>
      </c>
      <c r="C1348" s="27">
        <f>HYPERLINK("[P Only Old retention.xlsx]'Lake P Results'!AE444", 1.21)</f>
        <v>1.21</v>
      </c>
      <c r="D1348" s="27">
        <f>HYPERLINK("[P Only New retention.xlsx]'Lake P Results'!AE444", 1.21)</f>
        <v>1.21</v>
      </c>
      <c r="E1348" s="27">
        <f>HYPERLINK("[P Only with New retention and Differentiation.xlsx]'Lake P Results'!AE444", 1.21)</f>
        <v>1.21</v>
      </c>
      <c r="F1348" s="18"/>
      <c r="G1348" s="18"/>
      <c r="H1348" s="26">
        <f>HYPERLINK("[P Only Old retention.xlsx]'Lake P Results'!AM444", 1200)</f>
        <v>1200</v>
      </c>
      <c r="I1348" s="26">
        <f>HYPERLINK("[P Only New retention.xlsx]'Lake P Results'!AM444", 1200)</f>
        <v>1200</v>
      </c>
      <c r="J1348" s="26">
        <f>HYPERLINK("[P Only with New retention and Differentiation.xlsx]'Lake P Results'!AM444", 1200)</f>
        <v>1200</v>
      </c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  <c r="AO1348" s="18"/>
      <c r="AP1348" s="18"/>
      <c r="AQ1348" s="18"/>
      <c r="AR1348" s="18"/>
      <c r="AS1348" s="18"/>
      <c r="AT1348" s="18"/>
      <c r="AU1348" s="18"/>
      <c r="AV1348" s="18"/>
      <c r="AW1348" s="18"/>
      <c r="AX1348" s="18"/>
      <c r="AY1348" s="18"/>
      <c r="AZ1348" s="18"/>
      <c r="BA1348" s="18"/>
      <c r="BB1348" s="18"/>
      <c r="BC1348" s="18"/>
      <c r="BD1348" s="18"/>
      <c r="BE1348" s="18"/>
      <c r="BF1348" s="18"/>
      <c r="BG1348" s="18"/>
      <c r="BH1348" s="18"/>
      <c r="BI1348" s="18"/>
      <c r="BJ1348" s="18"/>
      <c r="BK1348" s="18"/>
      <c r="BL1348" s="18"/>
      <c r="BM1348" s="18"/>
      <c r="BN1348" s="18"/>
      <c r="BO1348" s="18"/>
    </row>
    <row r="1349" spans="1:67" x14ac:dyDescent="0.55000000000000004">
      <c r="A1349" s="31">
        <v>11506</v>
      </c>
      <c r="B1349" s="5" t="s">
        <v>746</v>
      </c>
      <c r="C1349" s="29">
        <f>HYPERLINK("[P Only Old retention.xlsx]'Lake P Results'!AE445", 0.96)</f>
        <v>0.96</v>
      </c>
      <c r="D1349" s="29">
        <f>HYPERLINK("[P Only New retention.xlsx]'Lake P Results'!AE445", 0.96)</f>
        <v>0.96</v>
      </c>
      <c r="E1349" s="29">
        <f>HYPERLINK("[P Only with New retention and Differentiation.xlsx]'Lake P Results'!AE445", 0.96)</f>
        <v>0.96</v>
      </c>
      <c r="F1349" s="13"/>
      <c r="G1349" s="13"/>
      <c r="H1349" s="28">
        <f>HYPERLINK("[P Only Old retention.xlsx]'Lake P Results'!AM445", 4800)</f>
        <v>4800</v>
      </c>
      <c r="I1349" s="28">
        <f>HYPERLINK("[P Only New retention.xlsx]'Lake P Results'!AM445", 4800)</f>
        <v>4800</v>
      </c>
      <c r="J1349" s="28">
        <f>HYPERLINK("[P Only with New retention and Differentiation.xlsx]'Lake P Results'!AM445", 4800)</f>
        <v>4800</v>
      </c>
      <c r="K1349" s="13"/>
      <c r="L1349" s="13"/>
      <c r="M1349" s="29">
        <f>HYPERLINK("[P Only Old retention.xlsx]'Lake P Results'!AC445", 368.738)</f>
        <v>368.738</v>
      </c>
      <c r="N1349" s="29">
        <f>HYPERLINK("[P Only New retention.xlsx]'Lake P Results'!AC445", 373.216)</f>
        <v>373.21600000000001</v>
      </c>
      <c r="O1349" s="29">
        <f>HYPERLINK("[P Only with New retention and Differentiation.xlsx]'Lake P Results'!AC445", 340.186)</f>
        <v>340.18599999999998</v>
      </c>
      <c r="P1349" s="46">
        <f>N1349-M1349</f>
        <v>4.4780000000000086</v>
      </c>
      <c r="Q1349" s="47">
        <f>O1349-M1349</f>
        <v>-28.552000000000021</v>
      </c>
      <c r="R1349" s="29">
        <f>HYPERLINK("[P Only Old retention.xlsx]'Lake P Results'!Y445", 150.342)</f>
        <v>150.34200000000001</v>
      </c>
      <c r="S1349" s="29">
        <f>HYPERLINK("[P Only New retention.xlsx]'Lake P Results'!Y445", 129.574)</f>
        <v>129.57400000000001</v>
      </c>
      <c r="T1349" s="29">
        <f>HYPERLINK("[P Only with New retention and Differentiation.xlsx]'Lake P Results'!Y445", 154.832)</f>
        <v>154.83199999999999</v>
      </c>
      <c r="U1349" s="47">
        <f>S1349-R1349</f>
        <v>-20.768000000000001</v>
      </c>
      <c r="V1349" s="46">
        <f>T1349-R1349</f>
        <v>4.4899999999999807</v>
      </c>
      <c r="W1349" s="29">
        <f>HYPERLINK("[P Only Old retention.xlsx]'Lake P Results'!V445", 149)</f>
        <v>149</v>
      </c>
      <c r="X1349" s="29">
        <f>HYPERLINK("[P Only New retention.xlsx]'Lake P Results'!V445", 168.18)</f>
        <v>168.18</v>
      </c>
      <c r="Y1349" s="29">
        <f>HYPERLINK("[P Only with New retention and Differentiation.xlsx]'Lake P Results'!V445", 168.18)</f>
        <v>168.18</v>
      </c>
      <c r="Z1349" s="46">
        <f>X1349-W1349</f>
        <v>19.180000000000007</v>
      </c>
      <c r="AA1349" s="46">
        <f>Y1349-W1349</f>
        <v>19.180000000000007</v>
      </c>
      <c r="AB1349" s="29">
        <f>HYPERLINK("[P Only Old retention.xlsx]'Lake P Results'!Z445", 63.38)</f>
        <v>63.38</v>
      </c>
      <c r="AC1349" s="29">
        <f>HYPERLINK("[P Only New retention.xlsx]'Lake P Results'!Z445", 61.21)</f>
        <v>61.21</v>
      </c>
      <c r="AD1349" s="29">
        <f>HYPERLINK("[P Only with New retention and Differentiation.xlsx]'Lake P Results'!Z445", 68.982)</f>
        <v>68.981999999999999</v>
      </c>
      <c r="AE1349" s="47">
        <f>AC1349-AB1349</f>
        <v>-2.1700000000000017</v>
      </c>
      <c r="AF1349" s="46">
        <f>AD1349-AB1349</f>
        <v>5.6019999999999968</v>
      </c>
      <c r="AG1349" s="13"/>
      <c r="AH1349" s="13"/>
      <c r="AI1349" s="13"/>
      <c r="AJ1349" s="13"/>
      <c r="AK1349" s="13"/>
      <c r="AL1349" s="13"/>
      <c r="AM1349" s="13"/>
      <c r="AN1349" s="13"/>
      <c r="AO1349" s="13"/>
      <c r="AP1349" s="13"/>
      <c r="AQ1349" s="28">
        <f>HYPERLINK("[P Only Old retention.xlsx]'Lake P Results'!AH445", 590)</f>
        <v>590</v>
      </c>
      <c r="AR1349" s="28">
        <f>HYPERLINK("[P Only New retention.xlsx]'Lake P Results'!AH445", 590)</f>
        <v>590</v>
      </c>
      <c r="AS1349" s="28">
        <f>HYPERLINK("[P Only with New retention and Differentiation.xlsx]'Lake P Results'!AH445", 590)</f>
        <v>590</v>
      </c>
      <c r="AT1349" s="13"/>
      <c r="AU1349" s="13"/>
      <c r="AV1349" s="29">
        <f>HYPERLINK("[P Only Old retention.xlsx]'Lake P Results'!M445", 49.73)</f>
        <v>49.73</v>
      </c>
      <c r="AW1349" s="29">
        <f>HYPERLINK("[P Only New retention.xlsx]'Lake P Results'!M445", 49.01)</f>
        <v>49.01</v>
      </c>
      <c r="AX1349" s="29">
        <f>HYPERLINK("[P Only with New retention and Differentiation.xlsx]'Lake P Results'!M445", 49.01)</f>
        <v>49.01</v>
      </c>
      <c r="AY1349" s="47">
        <f>AW1349-AV1349</f>
        <v>-0.71999999999999886</v>
      </c>
      <c r="AZ1349" s="47">
        <f>AX1349-AV1349</f>
        <v>-0.71999999999999886</v>
      </c>
      <c r="BA1349" s="13"/>
      <c r="BB1349" s="13"/>
      <c r="BC1349" s="13"/>
      <c r="BD1349" s="13"/>
      <c r="BE1349" s="13"/>
      <c r="BF1349" s="13"/>
      <c r="BG1349" s="13"/>
      <c r="BH1349" s="13"/>
      <c r="BI1349" s="13"/>
      <c r="BJ1349" s="13"/>
      <c r="BK1349" s="13"/>
      <c r="BL1349" s="13"/>
      <c r="BM1349" s="13"/>
      <c r="BN1349" s="13"/>
      <c r="BO1349" s="13"/>
    </row>
    <row r="1350" spans="1:67" x14ac:dyDescent="0.55000000000000004">
      <c r="A1350" s="30">
        <v>36617</v>
      </c>
      <c r="B1350" s="6" t="s">
        <v>747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  <c r="AO1350" s="18"/>
      <c r="AP1350" s="18"/>
      <c r="AQ1350" s="18"/>
      <c r="AR1350" s="18"/>
      <c r="AS1350" s="18"/>
      <c r="AT1350" s="18"/>
      <c r="AU1350" s="18"/>
      <c r="AV1350" s="18"/>
      <c r="AW1350" s="18"/>
      <c r="AX1350" s="18"/>
      <c r="AY1350" s="18"/>
      <c r="AZ1350" s="18"/>
      <c r="BA1350" s="18"/>
      <c r="BB1350" s="18"/>
      <c r="BC1350" s="18"/>
      <c r="BD1350" s="18"/>
      <c r="BE1350" s="18"/>
      <c r="BF1350" s="18"/>
      <c r="BG1350" s="18"/>
      <c r="BH1350" s="18"/>
      <c r="BI1350" s="18"/>
      <c r="BJ1350" s="18"/>
      <c r="BK1350" s="18"/>
      <c r="BL1350" s="18"/>
      <c r="BM1350" s="18"/>
      <c r="BN1350" s="18"/>
      <c r="BO1350" s="18"/>
    </row>
    <row r="1351" spans="1:67" x14ac:dyDescent="0.55000000000000004">
      <c r="A1351" s="31">
        <v>36699</v>
      </c>
      <c r="B1351" s="5" t="s">
        <v>748</v>
      </c>
      <c r="C1351" s="13"/>
      <c r="D1351" s="13"/>
      <c r="E1351" s="13"/>
      <c r="F1351" s="13"/>
      <c r="G1351" s="13"/>
      <c r="H1351" s="28">
        <f>HYPERLINK("[P Only Old retention.xlsx]'Lake P Results'!AM447", 400)</f>
        <v>400</v>
      </c>
      <c r="I1351" s="28">
        <f>HYPERLINK("[P Only New retention.xlsx]'Lake P Results'!AM447", 400)</f>
        <v>400</v>
      </c>
      <c r="J1351" s="28">
        <f>HYPERLINK("[P Only with New retention and Differentiation.xlsx]'Lake P Results'!AM447", 400)</f>
        <v>400</v>
      </c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  <c r="AL1351" s="13"/>
      <c r="AM1351" s="13"/>
      <c r="AN1351" s="13"/>
      <c r="AO1351" s="13"/>
      <c r="AP1351" s="13"/>
      <c r="AQ1351" s="13"/>
      <c r="AR1351" s="13"/>
      <c r="AS1351" s="13"/>
      <c r="AT1351" s="13"/>
      <c r="AU1351" s="13"/>
      <c r="AV1351" s="13"/>
      <c r="AW1351" s="13"/>
      <c r="AX1351" s="13"/>
      <c r="AY1351" s="13"/>
      <c r="AZ1351" s="13"/>
      <c r="BA1351" s="13"/>
      <c r="BB1351" s="13"/>
      <c r="BC1351" s="13"/>
      <c r="BD1351" s="13"/>
      <c r="BE1351" s="13"/>
      <c r="BF1351" s="13"/>
      <c r="BG1351" s="13"/>
      <c r="BH1351" s="13"/>
      <c r="BI1351" s="13"/>
      <c r="BJ1351" s="13"/>
      <c r="BK1351" s="13"/>
      <c r="BL1351" s="13"/>
      <c r="BM1351" s="13"/>
      <c r="BN1351" s="13"/>
      <c r="BO1351" s="13"/>
    </row>
    <row r="1352" spans="1:67" x14ac:dyDescent="0.55000000000000004">
      <c r="A1352" s="30">
        <v>36799</v>
      </c>
      <c r="B1352" s="6" t="s">
        <v>749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  <c r="AO1352" s="18"/>
      <c r="AP1352" s="18"/>
      <c r="AQ1352" s="18"/>
      <c r="AR1352" s="18"/>
      <c r="AS1352" s="18"/>
      <c r="AT1352" s="18"/>
      <c r="AU1352" s="18"/>
      <c r="AV1352" s="18"/>
      <c r="AW1352" s="18"/>
      <c r="AX1352" s="18"/>
      <c r="AY1352" s="18"/>
      <c r="AZ1352" s="18"/>
      <c r="BA1352" s="18"/>
      <c r="BB1352" s="18"/>
      <c r="BC1352" s="18"/>
      <c r="BD1352" s="18"/>
      <c r="BE1352" s="18"/>
      <c r="BF1352" s="18"/>
      <c r="BG1352" s="18"/>
      <c r="BH1352" s="18"/>
      <c r="BI1352" s="18"/>
      <c r="BJ1352" s="18"/>
      <c r="BK1352" s="18"/>
      <c r="BL1352" s="18"/>
      <c r="BM1352" s="18"/>
      <c r="BN1352" s="18"/>
      <c r="BO1352" s="18"/>
    </row>
    <row r="1353" spans="1:67" x14ac:dyDescent="0.55000000000000004">
      <c r="A1353" s="23"/>
      <c r="B1353" s="24" t="s">
        <v>133</v>
      </c>
      <c r="C1353" s="34">
        <v>1082.01756465426</v>
      </c>
      <c r="D1353" s="34">
        <v>1083.32556465426</v>
      </c>
      <c r="E1353" s="34">
        <v>1084.0215646542599</v>
      </c>
      <c r="F1353" s="48">
        <f>D1353-C1353</f>
        <v>1.3079999999999927</v>
      </c>
      <c r="G1353" s="48">
        <f>E1353-C1353</f>
        <v>2.0039999999999054</v>
      </c>
      <c r="H1353" s="25">
        <v>4071200</v>
      </c>
      <c r="I1353" s="25">
        <v>4069900</v>
      </c>
      <c r="J1353" s="25">
        <v>4070500</v>
      </c>
      <c r="K1353" s="48">
        <f>I1353-H1353</f>
        <v>-1300</v>
      </c>
      <c r="L1353" s="48">
        <f>J1353-H1353</f>
        <v>-700</v>
      </c>
      <c r="M1353" s="34">
        <v>20578.41</v>
      </c>
      <c r="N1353" s="34">
        <v>20465.835999999999</v>
      </c>
      <c r="O1353" s="34">
        <v>20883.088</v>
      </c>
      <c r="P1353" s="48">
        <f>N1353-M1353</f>
        <v>-112.57400000000052</v>
      </c>
      <c r="Q1353" s="48">
        <f>O1353-M1353</f>
        <v>304.67799999999988</v>
      </c>
      <c r="R1353" s="34">
        <v>9957.5059999999994</v>
      </c>
      <c r="S1353" s="34">
        <v>10191.611999999999</v>
      </c>
      <c r="T1353" s="34">
        <v>9668.9060000000009</v>
      </c>
      <c r="U1353" s="48">
        <f>S1353-R1353</f>
        <v>234.10599999999977</v>
      </c>
      <c r="V1353" s="48">
        <f>T1353-R1353</f>
        <v>-288.59999999999854</v>
      </c>
      <c r="W1353" s="34">
        <v>7408.6980000000003</v>
      </c>
      <c r="X1353" s="34">
        <v>7468.9639999999999</v>
      </c>
      <c r="Y1353" s="34">
        <v>7407.76</v>
      </c>
      <c r="Z1353" s="48">
        <f>X1353-W1353</f>
        <v>60.265999999999622</v>
      </c>
      <c r="AA1353" s="48">
        <f>Y1353-W1353</f>
        <v>-0.93800000000010186</v>
      </c>
      <c r="AB1353" s="34">
        <v>4047.806</v>
      </c>
      <c r="AC1353" s="34">
        <v>3855.5619999999999</v>
      </c>
      <c r="AD1353" s="34">
        <v>4105.8100000000004</v>
      </c>
      <c r="AE1353" s="48">
        <f>AC1353-AB1353</f>
        <v>-192.24400000000014</v>
      </c>
      <c r="AF1353" s="48">
        <f>AD1353-AB1353</f>
        <v>58.00400000000036</v>
      </c>
      <c r="AG1353" s="34">
        <v>2830.4099999978298</v>
      </c>
      <c r="AH1353" s="34">
        <v>2859.846</v>
      </c>
      <c r="AI1353" s="34">
        <v>2852.1419999999998</v>
      </c>
      <c r="AJ1353" s="48">
        <f>AH1353-AG1353</f>
        <v>29.436000002170204</v>
      </c>
      <c r="AK1353" s="48">
        <f>AI1353-AG1353</f>
        <v>21.732000002170025</v>
      </c>
      <c r="AL1353" s="34">
        <v>14.62</v>
      </c>
      <c r="AM1353" s="34">
        <v>14.62</v>
      </c>
      <c r="AN1353" s="34">
        <v>14.62</v>
      </c>
      <c r="AO1353" s="48"/>
      <c r="AP1353" s="48"/>
      <c r="AQ1353" s="25">
        <v>91479.999999908294</v>
      </c>
      <c r="AR1353" s="25">
        <v>91409.999999952794</v>
      </c>
      <c r="AS1353" s="25">
        <v>91469.999999952794</v>
      </c>
      <c r="AT1353" s="48">
        <f>AR1353-AQ1353</f>
        <v>-69.999999955500243</v>
      </c>
      <c r="AU1353" s="48">
        <f>AS1353-AQ1353</f>
        <v>-9.9999999555002432</v>
      </c>
      <c r="AV1353" s="34">
        <v>36253.369851252202</v>
      </c>
      <c r="AW1353" s="34">
        <v>36235.669851252198</v>
      </c>
      <c r="AX1353" s="34">
        <v>36167.139851252199</v>
      </c>
      <c r="AY1353" s="48">
        <f>AW1353-AV1353</f>
        <v>-17.700000000004366</v>
      </c>
      <c r="AZ1353" s="48">
        <f>AX1353-AV1353</f>
        <v>-86.230000000003201</v>
      </c>
      <c r="BA1353" s="34">
        <v>46563.431422137102</v>
      </c>
      <c r="BB1353" s="34">
        <v>46544.655422137097</v>
      </c>
      <c r="BC1353" s="34">
        <v>46521.625422137098</v>
      </c>
      <c r="BD1353" s="48">
        <f>BB1353-BA1353</f>
        <v>-18.776000000005297</v>
      </c>
      <c r="BE1353" s="48">
        <f>BC1353-BA1353</f>
        <v>-41.806000000004133</v>
      </c>
      <c r="BF1353" s="34"/>
      <c r="BG1353" s="34"/>
      <c r="BH1353" s="34"/>
      <c r="BI1353" s="48"/>
      <c r="BJ1353" s="48"/>
      <c r="BK1353" s="34">
        <v>2.8340000000000001</v>
      </c>
      <c r="BL1353" s="34">
        <v>2.8380000000000001</v>
      </c>
      <c r="BM1353" s="34">
        <v>2.8380000000000001</v>
      </c>
      <c r="BN1353" s="48">
        <f>BL1353-BK1353</f>
        <v>4.0000000000000036E-3</v>
      </c>
      <c r="BO1353" s="48">
        <f>BM1353-BK1353</f>
        <v>4.0000000000000036E-3</v>
      </c>
    </row>
  </sheetData>
  <mergeCells count="31">
    <mergeCell ref="A1:B1"/>
    <mergeCell ref="C1:BO1"/>
    <mergeCell ref="C2:G2"/>
    <mergeCell ref="H2:L2"/>
    <mergeCell ref="M2:Q2"/>
    <mergeCell ref="R2:V2"/>
    <mergeCell ref="W2:AA2"/>
    <mergeCell ref="AB2:AF2"/>
    <mergeCell ref="AG2:AK2"/>
    <mergeCell ref="AL2:AP2"/>
    <mergeCell ref="AQ2:AU2"/>
    <mergeCell ref="AV2:AZ2"/>
    <mergeCell ref="BA2:BE2"/>
    <mergeCell ref="BF2:BJ2"/>
    <mergeCell ref="BK2:BO2"/>
    <mergeCell ref="A905:BO905"/>
    <mergeCell ref="BA3:BE3"/>
    <mergeCell ref="BF3:BJ3"/>
    <mergeCell ref="BK3:BO3"/>
    <mergeCell ref="A5:BO5"/>
    <mergeCell ref="A455:BO455"/>
    <mergeCell ref="AB3:AF3"/>
    <mergeCell ref="AG3:AK3"/>
    <mergeCell ref="AL3:AP3"/>
    <mergeCell ref="AQ3:AU3"/>
    <mergeCell ref="AV3:AZ3"/>
    <mergeCell ref="C3:G3"/>
    <mergeCell ref="H3:L3"/>
    <mergeCell ref="M3:Q3"/>
    <mergeCell ref="R3:V3"/>
    <mergeCell ref="W3:AA3"/>
  </mergeCells>
  <pageMargins left="0.75" right="0.75" top="1" bottom="1" header="0.511811023622047" footer="0.511811023622047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0. Measure Groups</vt:lpstr>
      <vt:lpstr>1. National Totals</vt:lpstr>
      <vt:lpstr>2. Cost by Measure Group</vt:lpstr>
      <vt:lpstr>3. Measure Detail</vt:lpstr>
      <vt:lpstr>4. Coastal Catchments</vt:lpstr>
      <vt:lpstr>5. Coastal - Area by Measure</vt:lpstr>
      <vt:lpstr>6. Lake - Area by Measure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Raphael Filippelli</cp:lastModifiedBy>
  <cp:revision>0</cp:revision>
  <dcterms:created xsi:type="dcterms:W3CDTF">2026-04-07T23:10:04Z</dcterms:created>
  <dcterms:modified xsi:type="dcterms:W3CDTF">2026-04-07T23:32:28Z</dcterms:modified>
  <dc:language>en-US</dc:language>
</cp:coreProperties>
</file>